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ERSONNEL &amp; PAYROLL\SALARY SCALES\2025\"/>
    </mc:Choice>
  </mc:AlternateContent>
  <xr:revisionPtr revIDLastSave="0" documentId="13_ncr:1_{A42F155A-B31E-43A4-BDA5-A1FEB262E8FD}" xr6:coauthVersionLast="47" xr6:coauthVersionMax="47" xr10:uidLastSave="{00000000-0000-0000-0000-000000000000}"/>
  <bookViews>
    <workbookView xWindow="28680" yWindow="0" windowWidth="29040" windowHeight="23400" xr2:uid="{00000000-000D-0000-FFFF-FFFF00000000}"/>
  </bookViews>
  <sheets>
    <sheet name="Fixed Term &amp; On-Going" sheetId="1" r:id="rId1"/>
    <sheet name="Casual Employees" sheetId="4" r:id="rId2"/>
    <sheet name="Sheet2" sheetId="2" state="hidden" r:id="rId3"/>
    <sheet name="Sheet1" sheetId="5" state="hidden" r:id="rId4"/>
    <sheet name="Sheet3" sheetId="3" state="hidden" r:id="rId5"/>
  </sheets>
  <definedNames>
    <definedName name="Academic">Sheet2!$H$20:$H$25</definedName>
    <definedName name="AcademicALEVAALEVBALEVCALEVDALEVE" localSheetId="1">Sheet2!#REF!</definedName>
    <definedName name="AcademicALEVAALEVBALEVCALEVDALEVE">Sheet2!#REF!</definedName>
    <definedName name="ALEV" localSheetId="1">Sheet2!#REF!</definedName>
    <definedName name="ALEV">Sheet2!#REF!</definedName>
    <definedName name="Alevel">Sheet2!$I$20:$I$28</definedName>
    <definedName name="Classification">Sheet2!$H$14:$H$15</definedName>
    <definedName name="HEW">Sheet2!$I$2:$I$7</definedName>
    <definedName name="Professional">Sheet2!$H$2:$H$11</definedName>
    <definedName name="ProfessionalH1H2H3H4H5H6H7H8H9H10" localSheetId="1">Sheet2!#REF!</definedName>
    <definedName name="ProfessionalH1H2H3H4H5H6H7H8H9H10">Sheet2!#REF!</definedName>
    <definedName name="Sessional">Sheet2!$Q$2:$Q$24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6" i="4" l="1"/>
  <c r="G13" i="5" l="1"/>
  <c r="G12" i="5"/>
  <c r="G7" i="5"/>
  <c r="A12" i="1"/>
  <c r="F12" i="1" a="1"/>
  <c r="F12" i="1" s="1"/>
  <c r="F13" i="1" s="1"/>
  <c r="D22" i="1" s="1"/>
  <c r="E24" i="1"/>
  <c r="D23" i="1" l="1"/>
  <c r="D24" i="1"/>
  <c r="D20" i="1"/>
  <c r="D21" i="1"/>
  <c r="D17" i="1"/>
  <c r="D18" i="1" s="1"/>
  <c r="D43" i="1"/>
  <c r="E45" i="1"/>
  <c r="D19" i="1" l="1"/>
  <c r="D44" i="1"/>
  <c r="D42" i="1"/>
  <c r="D41" i="1"/>
  <c r="H33" i="4" l="1"/>
  <c r="D45" i="1"/>
  <c r="D38" i="1"/>
  <c r="D40" i="1" l="1"/>
  <c r="D39" i="1"/>
  <c r="F36" i="4"/>
  <c r="F37" i="4" l="1"/>
  <c r="F38" i="4"/>
  <c r="I16" i="4" a="1"/>
  <c r="I16" i="4" s="1"/>
  <c r="H17" i="4" s="1"/>
  <c r="F20" i="4" l="1"/>
  <c r="F21" i="4" s="1"/>
  <c r="E48" i="1"/>
  <c r="D49" i="1" s="1"/>
  <c r="F40" i="4"/>
  <c r="F41" i="4" s="1"/>
  <c r="D46" i="1"/>
  <c r="D47" i="1" s="1"/>
  <c r="I13" i="2"/>
  <c r="F22" i="4" l="1"/>
  <c r="F24" i="4"/>
  <c r="F25" i="4" s="1"/>
  <c r="D25" i="1" l="1"/>
  <c r="D26" i="1" s="1"/>
  <c r="E27" i="1"/>
  <c r="D2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tc={DB43AA90-36DE-4A47-8513-C1491F5AE042}</author>
    <author>tc={82B5694C-2C2F-4434-BF1A-6B2EDAF90043}</author>
  </authors>
  <commentList>
    <comment ref="E22" authorId="0" shapeId="0" xr:uid="{DB43AA90-36DE-4A47-8513-C1491F5AE042}">
      <text>
        <t>[Threaded comment]
Your version of Excel allows you to read this threaded comment; however, any edits to it will get removed if the file is opened in a newer version of Excel. Learn more: https://go.microsoft.com/fwlink/?linkid=870924
Comment:
    Yearly rate / 26.08333 FN *2 -&gt; 4 weeks AL rate</t>
      </text>
    </comment>
    <comment ref="E43" authorId="1" shapeId="0" xr:uid="{82B5694C-2C2F-4434-BF1A-6B2EDAF90043}">
      <text>
        <t>[Threaded comment]
Your version of Excel allows you to read this threaded comment; however, any edits to it will get removed if the file is opened in a newer version of Excel. Learn more: https://go.microsoft.com/fwlink/?linkid=870924
Comment:
    Yearly rate / 26.08333 FN *2 -&gt; 4 weeks AL rate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tc={F42F75E7-9175-422F-858A-38562E004855}</author>
  </authors>
  <commentList>
    <comment ref="B7" authorId="0" shapeId="0" xr:uid="{F42F75E7-9175-422F-858A-38562E004855}">
      <text>
        <t>[Threaded comment]
Your version of Excel allows you to read this threaded comment; however, any edits to it will get removed if the file is opened in a newer version of Excel. Learn more: https://go.microsoft.com/fwlink/?linkid=870924
Comment:
    Yearly rate / 26.0833 FN *2 -&gt; 4 weeks AL rate</t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<sst xmlns="http://schemas.openxmlformats.org/spreadsheetml/2006/main" count="427" uniqueCount="148">
  <si>
    <t>HEW Level</t>
  </si>
  <si>
    <t>Step</t>
  </si>
  <si>
    <t>Hrly rate</t>
  </si>
  <si>
    <t>Class</t>
  </si>
  <si>
    <t>Description</t>
  </si>
  <si>
    <t>H1</t>
  </si>
  <si>
    <t>HEW LEVEL 1</t>
  </si>
  <si>
    <t>100</t>
  </si>
  <si>
    <t>200</t>
  </si>
  <si>
    <t>300</t>
  </si>
  <si>
    <t>400</t>
  </si>
  <si>
    <t>500</t>
  </si>
  <si>
    <t>600</t>
  </si>
  <si>
    <t>H2</t>
  </si>
  <si>
    <t>HEW LEVEL 2</t>
  </si>
  <si>
    <t>H3</t>
  </si>
  <si>
    <t>HEW LEVEL 3</t>
  </si>
  <si>
    <t>H4</t>
  </si>
  <si>
    <t>HEW LEVEL 4</t>
  </si>
  <si>
    <t>Hourly</t>
  </si>
  <si>
    <t>Cas/Hour</t>
  </si>
  <si>
    <t>(no longer used)</t>
  </si>
  <si>
    <t>H5</t>
  </si>
  <si>
    <t>HEW LEVEL 5</t>
  </si>
  <si>
    <t>H6</t>
  </si>
  <si>
    <t>HEW LEVEL 6</t>
  </si>
  <si>
    <t>H7</t>
  </si>
  <si>
    <t>HEW LEVEL 7</t>
  </si>
  <si>
    <t>H8</t>
  </si>
  <si>
    <t>HEW LEVEL 8</t>
  </si>
  <si>
    <t>H9</t>
  </si>
  <si>
    <t>HEW LEVEL 9</t>
  </si>
  <si>
    <t>H10</t>
  </si>
  <si>
    <t>HEW LEVEL 10</t>
  </si>
  <si>
    <t xml:space="preserve">General </t>
  </si>
  <si>
    <t>Academic</t>
  </si>
  <si>
    <t>Alevel</t>
  </si>
  <si>
    <t>On-Going</t>
  </si>
  <si>
    <t>Casual</t>
  </si>
  <si>
    <t>ALEVA</t>
  </si>
  <si>
    <t>Lecturer A</t>
  </si>
  <si>
    <t>001</t>
  </si>
  <si>
    <t>002</t>
  </si>
  <si>
    <t>003</t>
  </si>
  <si>
    <t>004</t>
  </si>
  <si>
    <t>005</t>
  </si>
  <si>
    <t>006</t>
  </si>
  <si>
    <t>007</t>
  </si>
  <si>
    <t>008</t>
  </si>
  <si>
    <t>ALEVB</t>
  </si>
  <si>
    <t>Lecturer B</t>
  </si>
  <si>
    <t>ALEVC</t>
  </si>
  <si>
    <t>Senior Lecturer</t>
  </si>
  <si>
    <t>ALEVD</t>
  </si>
  <si>
    <t>Associate Professor</t>
  </si>
  <si>
    <t>ALEVE</t>
  </si>
  <si>
    <t>Professor</t>
  </si>
  <si>
    <t>009</t>
  </si>
  <si>
    <t>Employment Status</t>
  </si>
  <si>
    <t xml:space="preserve">Professional </t>
  </si>
  <si>
    <t>Classification</t>
  </si>
  <si>
    <t>Does the employee receive Full Super (17%)?</t>
  </si>
  <si>
    <t>Yes</t>
  </si>
  <si>
    <t>No</t>
  </si>
  <si>
    <t>Will the employee be entitled to a severence payout on termination?</t>
  </si>
  <si>
    <t xml:space="preserve">Superannuation Component </t>
  </si>
  <si>
    <t>of salary</t>
  </si>
  <si>
    <t xml:space="preserve">Payroll Tax Component </t>
  </si>
  <si>
    <t>of salary+super+leave loading</t>
  </si>
  <si>
    <t xml:space="preserve">Workers' Compensation Component </t>
  </si>
  <si>
    <t xml:space="preserve">Long Service Leave Component </t>
  </si>
  <si>
    <t xml:space="preserve">of salary </t>
  </si>
  <si>
    <t>Annual Leave Loading</t>
  </si>
  <si>
    <t>Max:</t>
  </si>
  <si>
    <t>TOTAL EMPLOYMENT COST</t>
  </si>
  <si>
    <t>% salary on-cost</t>
  </si>
  <si>
    <t>Severance Oncost (2.5%)</t>
  </si>
  <si>
    <t>Rate</t>
  </si>
  <si>
    <t>Comments</t>
  </si>
  <si>
    <t>Descpription</t>
  </si>
  <si>
    <t>Code</t>
  </si>
  <si>
    <t>Lecturing</t>
  </si>
  <si>
    <t>A1</t>
  </si>
  <si>
    <t>A3</t>
  </si>
  <si>
    <t>A4</t>
  </si>
  <si>
    <t>A17</t>
  </si>
  <si>
    <t>A18</t>
  </si>
  <si>
    <t>Tutorials</t>
  </si>
  <si>
    <t>A5</t>
  </si>
  <si>
    <t>A6</t>
  </si>
  <si>
    <t>A18.1</t>
  </si>
  <si>
    <t>Marking</t>
  </si>
  <si>
    <t>A21</t>
  </si>
  <si>
    <t>A32</t>
  </si>
  <si>
    <t>A17.1</t>
  </si>
  <si>
    <t>Other Academic Activities</t>
  </si>
  <si>
    <t>A31</t>
  </si>
  <si>
    <t>A33</t>
  </si>
  <si>
    <t>A5C</t>
  </si>
  <si>
    <t>A14</t>
  </si>
  <si>
    <t>A15.1</t>
  </si>
  <si>
    <t>Practical Supervision</t>
  </si>
  <si>
    <t>Music</t>
  </si>
  <si>
    <t>A24</t>
  </si>
  <si>
    <t>A7</t>
  </si>
  <si>
    <t>A9</t>
  </si>
  <si>
    <t>A10</t>
  </si>
  <si>
    <t>A11</t>
  </si>
  <si>
    <t>A8</t>
  </si>
  <si>
    <t>Sessional Rate</t>
  </si>
  <si>
    <t>Sessional</t>
  </si>
  <si>
    <t>Parental Leave</t>
  </si>
  <si>
    <t>On-Cost Calculator - Casual Employees</t>
  </si>
  <si>
    <t>Yearly Rate</t>
  </si>
  <si>
    <t>FTE %</t>
  </si>
  <si>
    <t>Hrly rate inclusive of 25% casual loading</t>
  </si>
  <si>
    <t>of salary+super</t>
  </si>
  <si>
    <t xml:space="preserve">Total cost </t>
  </si>
  <si>
    <t>Annual Leave Provision</t>
  </si>
  <si>
    <t>A) TOTAL EMPLOYMENT COST</t>
  </si>
  <si>
    <t>*NB: If the employee takes their full leave entitlement within the year the total cost is as per B.</t>
  </si>
  <si>
    <t>Number of Units/Hours Worked</t>
  </si>
  <si>
    <t>To calculate the total employment cost of a staff appointment please complete the required details in the shaded cells below. Drop down menus appear in the blue cells, the pink cell is free text.</t>
  </si>
  <si>
    <t>Agreed Rate</t>
  </si>
  <si>
    <t>Agreed Rate - Casual Employees</t>
  </si>
  <si>
    <t>Agreed Hrly rate</t>
  </si>
  <si>
    <t>B) TOTAL EMPLOYMENT COST (Excluding AL Provision)</t>
  </si>
  <si>
    <t>On-Cost Calculator - Fixed Term &amp; Ongoing Employees</t>
  </si>
  <si>
    <t>On-Cost Calculator - Fixed Term &amp; Ongoing Employees AGREED RATE</t>
  </si>
  <si>
    <t>Fixed Term</t>
  </si>
  <si>
    <t>On-Cost Calculator - Salary Rates 4 July 2025</t>
  </si>
  <si>
    <t>If you require any assistance, please contact Payroll Services via email to payroll@ecu.edu.au.</t>
  </si>
  <si>
    <t>Calculation/Notes</t>
  </si>
  <si>
    <t>Per Enterprise Agreement</t>
  </si>
  <si>
    <t>Executive established rate, and has not changed for a long time</t>
  </si>
  <si>
    <t>Financial Accounting Team confirmed rate unchanged</t>
  </si>
  <si>
    <t>Confirmed by Tax Team, per WA Office of State Revenue, unchanged</t>
  </si>
  <si>
    <t>Unsure, but I think it’s calculated as 4wks/52wks * 17.5% = 1.34%</t>
  </si>
  <si>
    <t>Unsure, but see calculation below which will need confirming:</t>
  </si>
  <si>
    <t>Assuming the average rate of severance pay is 10 weeks (which is the average between 4 and 16 weeks).</t>
  </si>
  <si>
    <t>10 weeks / 10 years  = 1 week per year</t>
  </si>
  <si>
    <t>1 week / 52 weeks = 1.92%</t>
  </si>
  <si>
    <t>1.92% grossed up for oncosts of 30.461%* = 2.5%</t>
  </si>
  <si>
    <t>*30.461% is the on-cost rate excl annual leave provision, i.e all the highlighted ones above</t>
  </si>
  <si>
    <t>Excl annual leave provision is on assumption that the employee takes their full annual leave entitlement within the year.</t>
  </si>
  <si>
    <t>People and Culture</t>
  </si>
  <si>
    <t xml:space="preserve"> Salary Rates  4 July 2025</t>
  </si>
  <si>
    <t xml:space="preserve">On-Cost Calculator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</si>
</sst>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0"/>
    <numFmt numFmtId="165" formatCode="&quot;$&quot;#,##0.00"/>
    <numFmt numFmtId="166" formatCode="0.00000%"/>
    <numFmt numFmtId="167" formatCode="000"/>
    <numFmt numFmtId="168" formatCode="0.000000%"/>
    <numFmt numFmtId="169" formatCode="&quot;$&quot;#,##0"/>
    <numFmt numFmtId="170" formatCode="0.000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.5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24A78E"/>
      <name val="Calibri"/>
      <family val="2"/>
      <scheme val="minor"/>
    </font>
    <font>
      <sz val="10"/>
      <color rgb="FF24A78E"/>
      <name val="Calibri"/>
      <family val="2"/>
      <scheme val="minor"/>
    </font>
    <font>
      <b/>
      <sz val="13"/>
      <name val="Calibri"/>
      <family val="2"/>
      <scheme val="minor"/>
    </font>
    <font>
      <sz val="10"/>
      <color rgb="FF24A78E"/>
      <name val="Arial"/>
      <family val="2"/>
    </font>
    <font>
      <sz val="11"/>
      <color rgb="FF24A78E"/>
      <name val="Calibri"/>
      <family val="2"/>
      <scheme val="minor"/>
    </font>
    <font>
      <b/>
      <sz val="10"/>
      <color theme="0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Aptos Display"/>
      <family val="2"/>
    </font>
    <font>
      <b/>
      <sz val="14"/>
      <name val="Calibri"/>
      <family val="2"/>
      <scheme val="minor"/>
    </font>
    <font>
      <b/>
      <sz val="24"/>
      <color rgb="FF24A78E"/>
      <name val="Aptos Display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FF4F1"/>
        <bgColor indexed="64"/>
      </patternFill>
    </fill>
    <fill>
      <patternFill patternType="solid">
        <fgColor rgb="FF24A78E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7">
    <xf numFmtId="0" fontId="0" fillId="0" borderId="0" xfId="0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4" fillId="0" borderId="1" xfId="0" applyFont="1" applyBorder="1"/>
    <xf numFmtId="49" fontId="4" fillId="0" borderId="1" xfId="0" applyNumberFormat="1" applyFont="1" applyBorder="1" applyAlignment="1">
      <alignment horizontal="center"/>
    </xf>
    <xf numFmtId="0" fontId="4" fillId="0" borderId="2" xfId="0" applyFont="1" applyBorder="1"/>
    <xf numFmtId="49" fontId="4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3" fillId="2" borderId="1" xfId="1" applyNumberFormat="1" applyFont="1" applyFill="1" applyBorder="1" applyAlignment="1">
      <alignment horizontal="center"/>
    </xf>
    <xf numFmtId="164" fontId="5" fillId="0" borderId="1" xfId="1" applyNumberFormat="1" applyFont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0" fillId="0" borderId="0" xfId="0" quotePrefix="1"/>
    <xf numFmtId="0" fontId="2" fillId="0" borderId="0" xfId="0" applyFont="1"/>
    <xf numFmtId="0" fontId="2" fillId="0" borderId="0" xfId="0" applyFont="1" applyAlignment="1">
      <alignment horizontal="right"/>
    </xf>
    <xf numFmtId="165" fontId="0" fillId="0" borderId="2" xfId="0" applyNumberFormat="1" applyBorder="1" applyAlignment="1">
      <alignment horizontal="center" vertical="center"/>
    </xf>
    <xf numFmtId="165" fontId="0" fillId="0" borderId="0" xfId="0" applyNumberFormat="1"/>
    <xf numFmtId="10" fontId="6" fillId="0" borderId="0" xfId="0" applyNumberFormat="1" applyFont="1"/>
    <xf numFmtId="0" fontId="6" fillId="0" borderId="7" xfId="0" applyFont="1" applyBorder="1"/>
    <xf numFmtId="10" fontId="0" fillId="0" borderId="0" xfId="0" applyNumberFormat="1"/>
    <xf numFmtId="0" fontId="0" fillId="0" borderId="7" xfId="0" applyBorder="1"/>
    <xf numFmtId="9" fontId="0" fillId="0" borderId="0" xfId="0" applyNumberFormat="1"/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43" fontId="3" fillId="2" borderId="1" xfId="1" applyFont="1" applyFill="1" applyBorder="1" applyAlignment="1">
      <alignment horizontal="center"/>
    </xf>
    <xf numFmtId="2" fontId="4" fillId="0" borderId="1" xfId="0" applyNumberFormat="1" applyFont="1" applyBorder="1"/>
    <xf numFmtId="2" fontId="4" fillId="0" borderId="1" xfId="0" applyNumberFormat="1" applyFont="1" applyFill="1" applyBorder="1"/>
    <xf numFmtId="0" fontId="4" fillId="0" borderId="8" xfId="0" applyFont="1" applyFill="1" applyBorder="1"/>
    <xf numFmtId="0" fontId="7" fillId="0" borderId="0" xfId="0" applyFont="1"/>
    <xf numFmtId="0" fontId="2" fillId="0" borderId="0" xfId="0" applyFont="1" applyFill="1" applyBorder="1" applyAlignment="1">
      <alignment horizontal="center" vertical="center" wrapText="1"/>
    </xf>
    <xf numFmtId="165" fontId="0" fillId="0" borderId="0" xfId="0" applyNumberFormat="1" applyBorder="1"/>
    <xf numFmtId="0" fontId="0" fillId="0" borderId="0" xfId="0" applyFill="1" applyBorder="1" applyAlignment="1">
      <alignment horizontal="center" vertical="center"/>
    </xf>
    <xf numFmtId="0" fontId="0" fillId="0" borderId="0" xfId="0" applyBorder="1"/>
    <xf numFmtId="0" fontId="2" fillId="0" borderId="0" xfId="0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right"/>
    </xf>
    <xf numFmtId="165" fontId="7" fillId="0" borderId="2" xfId="0" applyNumberFormat="1" applyFont="1" applyBorder="1" applyAlignment="1">
      <alignment horizontal="center" vertical="center"/>
    </xf>
    <xf numFmtId="0" fontId="10" fillId="0" borderId="0" xfId="0" applyFont="1" applyFill="1" applyBorder="1"/>
    <xf numFmtId="0" fontId="7" fillId="3" borderId="1" xfId="0" applyFont="1" applyFill="1" applyBorder="1" applyAlignment="1">
      <alignment horizontal="center" vertical="center"/>
    </xf>
    <xf numFmtId="165" fontId="7" fillId="0" borderId="0" xfId="0" applyNumberFormat="1" applyFont="1"/>
    <xf numFmtId="0" fontId="7" fillId="0" borderId="0" xfId="2" applyFont="1" applyProtection="1"/>
    <xf numFmtId="165" fontId="7" fillId="0" borderId="0" xfId="3" applyNumberFormat="1" applyFont="1" applyProtection="1"/>
    <xf numFmtId="0" fontId="7" fillId="0" borderId="7" xfId="0" applyFont="1" applyBorder="1"/>
    <xf numFmtId="10" fontId="7" fillId="0" borderId="0" xfId="0" applyNumberFormat="1" applyFont="1"/>
    <xf numFmtId="0" fontId="11" fillId="0" borderId="0" xfId="0" applyFont="1" applyAlignment="1">
      <alignment horizontal="center"/>
    </xf>
    <xf numFmtId="10" fontId="11" fillId="0" borderId="0" xfId="0" applyNumberFormat="1" applyFont="1"/>
    <xf numFmtId="166" fontId="11" fillId="0" borderId="0" xfId="0" applyNumberFormat="1" applyFont="1"/>
    <xf numFmtId="0" fontId="12" fillId="0" borderId="0" xfId="0" applyFont="1" applyAlignment="1">
      <alignment horizontal="right"/>
    </xf>
    <xf numFmtId="8" fontId="12" fillId="0" borderId="0" xfId="0" applyNumberFormat="1" applyFont="1"/>
    <xf numFmtId="0" fontId="11" fillId="0" borderId="7" xfId="0" applyFont="1" applyBorder="1"/>
    <xf numFmtId="0" fontId="13" fillId="0" borderId="0" xfId="0" applyFont="1"/>
    <xf numFmtId="168" fontId="7" fillId="0" borderId="0" xfId="0" applyNumberFormat="1" applyFont="1"/>
    <xf numFmtId="169" fontId="7" fillId="0" borderId="2" xfId="0" applyNumberFormat="1" applyFont="1" applyBorder="1" applyAlignment="1">
      <alignment horizontal="center" vertical="center"/>
    </xf>
    <xf numFmtId="164" fontId="5" fillId="0" borderId="1" xfId="1" applyNumberFormat="1" applyFont="1" applyBorder="1"/>
    <xf numFmtId="164" fontId="5" fillId="0" borderId="1" xfId="1" applyNumberFormat="1" applyFont="1" applyBorder="1"/>
    <xf numFmtId="164" fontId="5" fillId="0" borderId="1" xfId="1" applyNumberFormat="1" applyFont="1" applyBorder="1"/>
    <xf numFmtId="164" fontId="5" fillId="0" borderId="2" xfId="1" applyNumberFormat="1" applyFont="1" applyBorder="1"/>
    <xf numFmtId="164" fontId="5" fillId="0" borderId="1" xfId="1" applyNumberFormat="1" applyFont="1" applyBorder="1"/>
    <xf numFmtId="164" fontId="5" fillId="0" borderId="1" xfId="1" applyNumberFormat="1" applyFont="1" applyBorder="1"/>
    <xf numFmtId="164" fontId="5" fillId="0" borderId="1" xfId="1" applyNumberFormat="1" applyFont="1" applyBorder="1"/>
    <xf numFmtId="164" fontId="5" fillId="0" borderId="1" xfId="1" applyNumberFormat="1" applyFont="1" applyBorder="1"/>
    <xf numFmtId="164" fontId="5" fillId="0" borderId="1" xfId="1" applyNumberFormat="1" applyFont="1" applyBorder="1"/>
    <xf numFmtId="164" fontId="5" fillId="0" borderId="2" xfId="1" applyNumberFormat="1" applyFont="1" applyBorder="1"/>
    <xf numFmtId="164" fontId="5" fillId="0" borderId="1" xfId="1" applyNumberFormat="1" applyFont="1" applyBorder="1"/>
    <xf numFmtId="164" fontId="5" fillId="0" borderId="1" xfId="1" applyNumberFormat="1" applyFont="1" applyBorder="1"/>
    <xf numFmtId="164" fontId="5" fillId="0" borderId="1" xfId="1" applyNumberFormat="1" applyFont="1" applyBorder="1"/>
    <xf numFmtId="164" fontId="5" fillId="0" borderId="1" xfId="1" applyNumberFormat="1" applyFont="1" applyBorder="1"/>
    <xf numFmtId="164" fontId="5" fillId="0" borderId="1" xfId="1" applyNumberFormat="1" applyFont="1" applyBorder="1"/>
    <xf numFmtId="164" fontId="5" fillId="0" borderId="1" xfId="1" applyNumberFormat="1" applyFont="1" applyBorder="1"/>
    <xf numFmtId="164" fontId="5" fillId="0" borderId="1" xfId="1" applyNumberFormat="1" applyFont="1" applyBorder="1"/>
    <xf numFmtId="2" fontId="4" fillId="0" borderId="1" xfId="4" applyNumberFormat="1" applyFont="1" applyFill="1" applyBorder="1"/>
    <xf numFmtId="2" fontId="4" fillId="0" borderId="1" xfId="4" applyNumberFormat="1" applyFont="1" applyFill="1" applyBorder="1"/>
    <xf numFmtId="2" fontId="4" fillId="0" borderId="1" xfId="4" applyNumberFormat="1" applyFont="1" applyFill="1" applyBorder="1"/>
    <xf numFmtId="2" fontId="4" fillId="0" borderId="1" xfId="4" applyNumberFormat="1" applyFont="1" applyFill="1" applyBorder="1"/>
    <xf numFmtId="2" fontId="4" fillId="0" borderId="1" xfId="4" applyNumberFormat="1" applyFont="1" applyFill="1" applyBorder="1"/>
    <xf numFmtId="164" fontId="0" fillId="0" borderId="0" xfId="0" applyNumberFormat="1"/>
    <xf numFmtId="0" fontId="7" fillId="4" borderId="3" xfId="0" applyFont="1" applyFill="1" applyBorder="1" applyProtection="1"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7" fillId="4" borderId="2" xfId="0" quotePrefix="1" applyFont="1" applyFill="1" applyBorder="1" applyAlignment="1" applyProtection="1">
      <alignment horizontal="center" vertical="center"/>
      <protection locked="0"/>
    </xf>
    <xf numFmtId="165" fontId="15" fillId="5" borderId="7" xfId="0" applyNumberFormat="1" applyFont="1" applyFill="1" applyBorder="1"/>
    <xf numFmtId="10" fontId="7" fillId="4" borderId="1" xfId="0" applyNumberFormat="1" applyFont="1" applyFill="1" applyBorder="1" applyAlignment="1" applyProtection="1">
      <alignment horizontal="center" vertical="center"/>
      <protection locked="0"/>
    </xf>
    <xf numFmtId="165" fontId="7" fillId="4" borderId="2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right"/>
    </xf>
    <xf numFmtId="8" fontId="16" fillId="0" borderId="0" xfId="0" applyNumberFormat="1" applyFont="1"/>
    <xf numFmtId="0" fontId="17" fillId="0" borderId="0" xfId="0" applyFont="1"/>
    <xf numFmtId="0" fontId="0" fillId="4" borderId="1" xfId="0" applyFill="1" applyBorder="1" applyAlignment="1" applyProtection="1">
      <alignment horizontal="center" vertical="center"/>
      <protection locked="0"/>
    </xf>
    <xf numFmtId="165" fontId="0" fillId="4" borderId="1" xfId="0" applyNumberFormat="1" applyFill="1" applyBorder="1" applyAlignment="1" applyProtection="1">
      <alignment horizontal="center" vertical="center"/>
      <protection locked="0"/>
    </xf>
    <xf numFmtId="0" fontId="19" fillId="0" borderId="0" xfId="0" applyFont="1"/>
    <xf numFmtId="0" fontId="20" fillId="0" borderId="0" xfId="0" applyFont="1"/>
    <xf numFmtId="165" fontId="21" fillId="5" borderId="7" xfId="0" applyNumberFormat="1" applyFont="1" applyFill="1" applyBorder="1"/>
    <xf numFmtId="10" fontId="22" fillId="0" borderId="0" xfId="0" applyNumberFormat="1" applyFont="1"/>
    <xf numFmtId="0" fontId="0" fillId="4" borderId="3" xfId="0" applyFill="1" applyBorder="1" applyProtection="1">
      <protection locked="0"/>
    </xf>
    <xf numFmtId="0" fontId="0" fillId="0" borderId="10" xfId="0" applyBorder="1"/>
    <xf numFmtId="0" fontId="23" fillId="0" borderId="10" xfId="0" applyFont="1" applyBorder="1"/>
    <xf numFmtId="170" fontId="23" fillId="0" borderId="0" xfId="11" applyNumberFormat="1" applyFont="1" applyBorder="1"/>
    <xf numFmtId="10" fontId="11" fillId="6" borderId="0" xfId="0" applyNumberFormat="1" applyFont="1" applyFill="1"/>
    <xf numFmtId="166" fontId="11" fillId="6" borderId="0" xfId="0" applyNumberFormat="1" applyFont="1" applyFill="1"/>
    <xf numFmtId="0" fontId="23" fillId="0" borderId="10" xfId="0" applyFont="1" applyBorder="1" applyAlignment="1">
      <alignment horizontal="left" indent="1"/>
    </xf>
    <xf numFmtId="0" fontId="18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0" fillId="4" borderId="0" xfId="0" applyFill="1"/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vertical="center"/>
    </xf>
    <xf numFmtId="0" fontId="24" fillId="4" borderId="0" xfId="0" applyFont="1" applyFill="1" applyAlignment="1">
      <alignment vertical="top"/>
    </xf>
    <xf numFmtId="0" fontId="25" fillId="4" borderId="0" xfId="0" applyFont="1" applyFill="1"/>
    <xf numFmtId="0" fontId="26" fillId="4" borderId="0" xfId="0" applyFont="1" applyFill="1"/>
    <xf numFmtId="0" fontId="0" fillId="4" borderId="2" xfId="0" quotePrefix="1" applyFill="1" applyBorder="1" applyAlignment="1" applyProtection="1">
      <alignment horizontal="center" vertical="center" wrapText="1"/>
      <protection locked="0"/>
    </xf>
    <xf numFmtId="165" fontId="14" fillId="5" borderId="2" xfId="0" applyNumberFormat="1" applyFont="1" applyFill="1" applyBorder="1"/>
    <xf numFmtId="0" fontId="0" fillId="0" borderId="4" xfId="0" applyBorder="1" applyAlignment="1">
      <alignment wrapText="1"/>
    </xf>
    <xf numFmtId="0" fontId="2" fillId="0" borderId="6" xfId="0" applyFont="1" applyBorder="1"/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0" xfId="0" applyFill="1" applyAlignment="1">
      <alignment horizontal="right" vertical="center" indent="3"/>
    </xf>
    <xf numFmtId="0" fontId="7" fillId="4" borderId="4" xfId="0" applyFont="1" applyFill="1" applyBorder="1" applyAlignment="1" applyProtection="1">
      <alignment horizontal="left" vertical="center"/>
      <protection locked="0"/>
    </xf>
    <xf numFmtId="0" fontId="7" fillId="4" borderId="5" xfId="0" applyFont="1" applyFill="1" applyBorder="1" applyAlignment="1" applyProtection="1">
      <alignment horizontal="left" vertical="center"/>
      <protection locked="0"/>
    </xf>
    <xf numFmtId="0" fontId="7" fillId="4" borderId="6" xfId="0" applyFont="1" applyFill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right"/>
    </xf>
    <xf numFmtId="0" fontId="10" fillId="0" borderId="9" xfId="0" applyFont="1" applyBorder="1" applyAlignment="1">
      <alignment horizontal="right"/>
    </xf>
    <xf numFmtId="0" fontId="11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0" fontId="2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9" xfId="0" applyFont="1" applyBorder="1" applyAlignment="1">
      <alignment horizontal="left"/>
    </xf>
    <xf numFmtId="0" fontId="0" fillId="0" borderId="4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right" wrapText="1"/>
    </xf>
    <xf numFmtId="0" fontId="2" fillId="0" borderId="9" xfId="0" applyFont="1" applyFill="1" applyBorder="1" applyAlignment="1">
      <alignment horizontal="right" wrapText="1"/>
    </xf>
    <xf numFmtId="0" fontId="6" fillId="0" borderId="0" xfId="0" applyFont="1" applyAlignment="1">
      <alignment horizontal="left"/>
    </xf>
    <xf numFmtId="0" fontId="8" fillId="0" borderId="10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11" fillId="0" borderId="10" xfId="0" applyFont="1" applyBorder="1" applyAlignment="1">
      <alignment horizontal="left"/>
    </xf>
    <xf numFmtId="0" fontId="11" fillId="0" borderId="0" xfId="0" applyFont="1" applyBorder="1" applyAlignment="1">
      <alignment horizontal="left"/>
    </xf>
  </cellXfs>
  <cellStyles count="12">
    <cellStyle name="Comma" xfId="1" builtinId="3"/>
    <cellStyle name="Comma 2" xfId="6" xr:uid="{7253DA3F-D756-4998-BE74-BC7F60FE85E4}"/>
    <cellStyle name="Comma 3" xfId="9" xr:uid="{A0DC9884-E7DE-40F9-ADC2-FAA300CBE66D}"/>
    <cellStyle name="Comma 4" xfId="8" xr:uid="{CB95B85A-B771-43B6-A74B-0747FD142C22}"/>
    <cellStyle name="Currency" xfId="4" builtinId="4"/>
    <cellStyle name="Currency 2" xfId="7" xr:uid="{65B3F9B2-7019-4F08-B089-4F0BF1A4F870}"/>
    <cellStyle name="Currency 3" xfId="10" xr:uid="{C05F7B6C-D4EE-4414-B652-7AE1DEC5E087}"/>
    <cellStyle name="Currency 4" xfId="5" xr:uid="{DE9ECECD-70C5-4A73-9D13-1124800F1388}"/>
    <cellStyle name="Normal" xfId="0" builtinId="0"/>
    <cellStyle name="Normal 2" xfId="2" xr:uid="{00000000-0005-0000-0000-000002000000}"/>
    <cellStyle name="Normal 3" xfId="3" xr:uid="{00000000-0005-0000-0000-000003000000}"/>
    <cellStyle name="Percent" xfId="11" builtinId="5"/>
  </cellStyles>
  <dxfs count="0"/>
  <tableStyles count="0" defaultTableStyle="TableStyleMedium2" defaultPivotStyle="PivotStyleLight16"/>
  <colors>
    <mruColors>
      <color rgb="FFFFFFCC"/>
      <color rgb="FFEFF4F1"/>
      <color rgb="FF24A78E"/>
      <color rgb="FFFADA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" Target="richData/rdrichvalue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microsoft.com/office/2022/10/relationships/richValueRel" Target="richData/richValueRel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Young CHAE" id="{257D2537-9F18-4F1B-AC55-F71E10A77904}" userId="S::e.chae@ecu.edu.au::f1fca522-38e2-4609-8ea4-048e40ebdf9e" providerId="AD"/>
</personList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22" dT="2025-05-27T06:35:12.24" personId="{257D2537-9F18-4F1B-AC55-F71E10A77904}" id="{DB43AA90-36DE-4A47-8513-C1491F5AE042}">
    <text>Yearly rate / 26.08333 FN *2 -&gt; 4 weeks AL rate</text>
  </threadedComment>
  <threadedComment ref="E43" dT="2025-05-27T06:35:12.24" personId="{257D2537-9F18-4F1B-AC55-F71E10A77904}" id="{82B5694C-2C2F-4434-BF1A-6B2EDAF90043}">
    <text>Yearly rate / 26.08333 FN *2 -&gt; 4 weeks AL rate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7" dT="2025-05-27T06:35:12.24" personId="{257D2537-9F18-4F1B-AC55-F71E10A77904}" id="{F42F75E7-9175-422F-858A-38562E004855}">
    <text>Yearly rate / 26.0833 FN *2 -&gt; 4 weeks AL rate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H50"/>
  <sheetViews>
    <sheetView tabSelected="1" view="pageLayout" zoomScaleNormal="100" workbookViewId="0">
      <selection activeCell="D12" sqref="D12"/>
    </sheetView>
  </sheetViews>
  <sheetFormatPr defaultRowHeight="15" x14ac:dyDescent="0.25"/>
  <cols>
    <col min="1" max="1" width="6.7109375" customWidth="1"/>
    <col min="3" max="3" width="17.42578125" customWidth="1"/>
    <col min="4" max="4" width="11" customWidth="1"/>
    <col min="5" max="5" width="11.85546875" customWidth="1"/>
    <col min="6" max="6" width="12.5703125" customWidth="1"/>
    <col min="8" max="8" width="9.140625" bestFit="1" customWidth="1"/>
  </cols>
  <sheetData>
    <row r="1" spans="1:8" ht="12" customHeight="1" x14ac:dyDescent="0.25">
      <c r="A1" s="107"/>
      <c r="B1" s="107"/>
      <c r="C1" s="107"/>
      <c r="D1" s="108"/>
      <c r="E1" s="109"/>
      <c r="F1" s="118" t="e" vm="1">
        <v>#VALUE!</v>
      </c>
      <c r="G1" s="118"/>
      <c r="H1" s="118"/>
    </row>
    <row r="2" spans="1:8" ht="35.25" customHeight="1" x14ac:dyDescent="0.5">
      <c r="A2" s="107"/>
      <c r="B2" s="112" t="s">
        <v>145</v>
      </c>
      <c r="C2" s="107"/>
      <c r="D2" s="108"/>
      <c r="E2" s="109"/>
      <c r="F2" s="118"/>
      <c r="G2" s="118"/>
      <c r="H2" s="118"/>
    </row>
    <row r="3" spans="1:8" ht="25.5" customHeight="1" x14ac:dyDescent="0.3">
      <c r="A3" s="107"/>
      <c r="B3" s="110" t="s">
        <v>147</v>
      </c>
      <c r="C3" s="111"/>
      <c r="D3" s="111"/>
      <c r="E3" s="109"/>
      <c r="F3" s="118"/>
      <c r="G3" s="118"/>
      <c r="H3" s="118"/>
    </row>
    <row r="4" spans="1:8" ht="24" customHeight="1" x14ac:dyDescent="0.3">
      <c r="A4" s="125" t="s">
        <v>146</v>
      </c>
      <c r="B4" s="125"/>
      <c r="C4" s="125"/>
      <c r="D4" s="125"/>
      <c r="E4" s="125"/>
      <c r="F4" s="125"/>
      <c r="G4" s="125"/>
      <c r="H4" s="125"/>
    </row>
    <row r="5" spans="1:8" x14ac:dyDescent="0.25">
      <c r="A5" s="126" t="s">
        <v>122</v>
      </c>
      <c r="B5" s="126"/>
      <c r="C5" s="126"/>
      <c r="D5" s="126"/>
      <c r="E5" s="126"/>
      <c r="F5" s="126"/>
      <c r="G5" s="126"/>
      <c r="H5" s="126"/>
    </row>
    <row r="6" spans="1:8" ht="12.75" customHeight="1" x14ac:dyDescent="0.25">
      <c r="A6" s="126"/>
      <c r="B6" s="126"/>
      <c r="C6" s="126"/>
      <c r="D6" s="126"/>
      <c r="E6" s="126"/>
      <c r="F6" s="126"/>
      <c r="G6" s="126"/>
      <c r="H6" s="126"/>
    </row>
    <row r="7" spans="1:8" ht="3" customHeight="1" x14ac:dyDescent="0.25">
      <c r="A7" s="126"/>
      <c r="B7" s="126"/>
      <c r="C7" s="126"/>
      <c r="D7" s="126"/>
      <c r="E7" s="126"/>
      <c r="F7" s="126"/>
      <c r="G7" s="126"/>
      <c r="H7" s="126"/>
    </row>
    <row r="8" spans="1:8" ht="18" customHeight="1" x14ac:dyDescent="0.25">
      <c r="A8" s="127" t="s">
        <v>131</v>
      </c>
      <c r="B8" s="127"/>
      <c r="C8" s="127"/>
      <c r="D8" s="127"/>
      <c r="E8" s="127"/>
      <c r="F8" s="127"/>
      <c r="G8" s="127"/>
      <c r="H8" s="127"/>
    </row>
    <row r="9" spans="1:8" ht="18.75" x14ac:dyDescent="0.3">
      <c r="A9" s="40" t="s">
        <v>127</v>
      </c>
      <c r="B9" s="34"/>
      <c r="C9" s="34"/>
      <c r="D9" s="34"/>
      <c r="E9" s="34"/>
      <c r="F9" s="34"/>
      <c r="G9" s="34"/>
      <c r="H9" s="34"/>
    </row>
    <row r="10" spans="1:8" x14ac:dyDescent="0.25">
      <c r="A10" s="41" t="s">
        <v>60</v>
      </c>
      <c r="B10" s="34"/>
      <c r="C10" s="83" t="s">
        <v>59</v>
      </c>
      <c r="D10" s="34"/>
      <c r="E10" s="34"/>
      <c r="F10" s="34"/>
      <c r="G10" s="34"/>
      <c r="H10" s="34"/>
    </row>
    <row r="11" spans="1:8" x14ac:dyDescent="0.25">
      <c r="A11" s="41" t="s">
        <v>58</v>
      </c>
      <c r="B11" s="34"/>
      <c r="C11" s="119" t="s">
        <v>37</v>
      </c>
      <c r="D11" s="120"/>
      <c r="E11" s="120"/>
      <c r="F11" s="121"/>
      <c r="G11" s="34"/>
      <c r="H11" s="34"/>
    </row>
    <row r="12" spans="1:8" x14ac:dyDescent="0.25">
      <c r="A12" s="41" t="str">
        <f>IF(C10&lt;&gt;Sheet2!H14,"ALevel","HEW")</f>
        <v>HEW</v>
      </c>
      <c r="B12" s="84" t="s">
        <v>15</v>
      </c>
      <c r="C12" s="42" t="s">
        <v>1</v>
      </c>
      <c r="D12" s="85" t="s">
        <v>10</v>
      </c>
      <c r="E12" s="42" t="s">
        <v>2</v>
      </c>
      <c r="F12" s="43">
        <f t="array" ref="F12">INDEX(Sheet2!A2:E83, MATCH(1, (Sheet2!A2:A83=B12)*(Sheet2!C2:C83=D12),0), 4)</f>
        <v>37.687460303463645</v>
      </c>
      <c r="G12" s="42" t="s">
        <v>114</v>
      </c>
      <c r="H12" s="87">
        <v>0.5</v>
      </c>
    </row>
    <row r="13" spans="1:8" x14ac:dyDescent="0.25">
      <c r="A13" s="41"/>
      <c r="B13" s="42"/>
      <c r="C13" s="42"/>
      <c r="D13" s="122" t="s">
        <v>113</v>
      </c>
      <c r="E13" s="123"/>
      <c r="F13" s="59">
        <f>F12*75*26.0833*H12</f>
        <v>36863</v>
      </c>
      <c r="G13" s="34"/>
      <c r="H13" s="34"/>
    </row>
    <row r="14" spans="1:8" x14ac:dyDescent="0.25">
      <c r="A14" s="44" t="s">
        <v>61</v>
      </c>
      <c r="B14" s="34"/>
      <c r="C14" s="34"/>
      <c r="D14" s="34"/>
      <c r="E14" s="34"/>
      <c r="F14" s="34"/>
      <c r="G14" s="45" t="s">
        <v>62</v>
      </c>
      <c r="H14" s="34"/>
    </row>
    <row r="15" spans="1:8" x14ac:dyDescent="0.25">
      <c r="A15" s="44" t="s">
        <v>64</v>
      </c>
      <c r="B15" s="34"/>
      <c r="C15" s="34"/>
      <c r="D15" s="34"/>
      <c r="E15" s="34"/>
      <c r="F15" s="34"/>
      <c r="G15" s="84" t="s">
        <v>63</v>
      </c>
      <c r="H15" s="34"/>
    </row>
    <row r="16" spans="1:8" x14ac:dyDescent="0.25">
      <c r="A16" s="34"/>
      <c r="B16" s="34"/>
      <c r="C16" s="34"/>
      <c r="D16" s="34"/>
      <c r="E16" s="51" t="s">
        <v>77</v>
      </c>
      <c r="F16" s="124" t="s">
        <v>78</v>
      </c>
      <c r="G16" s="124"/>
      <c r="H16" s="34"/>
    </row>
    <row r="17" spans="1:8" x14ac:dyDescent="0.25">
      <c r="A17" s="34" t="s">
        <v>65</v>
      </c>
      <c r="B17" s="34"/>
      <c r="C17" s="34"/>
      <c r="D17" s="46">
        <f>F13*E17</f>
        <v>6266.71</v>
      </c>
      <c r="E17" s="52">
        <v>0.17</v>
      </c>
      <c r="F17" s="91" t="s">
        <v>66</v>
      </c>
      <c r="G17" s="34"/>
      <c r="H17" s="34"/>
    </row>
    <row r="18" spans="1:8" x14ac:dyDescent="0.25">
      <c r="A18" s="34" t="s">
        <v>67</v>
      </c>
      <c r="B18" s="34"/>
      <c r="C18" s="34"/>
      <c r="D18" s="46">
        <f>(D17+F13+D22)*E18</f>
        <v>2399.3395891025002</v>
      </c>
      <c r="E18" s="52">
        <v>5.5E-2</v>
      </c>
      <c r="F18" s="91" t="s">
        <v>68</v>
      </c>
      <c r="G18" s="34"/>
      <c r="H18" s="34"/>
    </row>
    <row r="19" spans="1:8" x14ac:dyDescent="0.25">
      <c r="A19" s="34" t="s">
        <v>69</v>
      </c>
      <c r="B19" s="34"/>
      <c r="C19" s="34"/>
      <c r="D19" s="46">
        <f>(F13+D17+D22)*E19</f>
        <v>357.71972055710006</v>
      </c>
      <c r="E19" s="52">
        <v>8.2000000000000007E-3</v>
      </c>
      <c r="F19" s="91" t="s">
        <v>68</v>
      </c>
      <c r="G19" s="34"/>
      <c r="H19" s="34"/>
    </row>
    <row r="20" spans="1:8" x14ac:dyDescent="0.25">
      <c r="A20" s="34" t="s">
        <v>70</v>
      </c>
      <c r="B20" s="34"/>
      <c r="C20" s="34"/>
      <c r="D20" s="46">
        <f>F13*E20</f>
        <v>1843.15</v>
      </c>
      <c r="E20" s="52">
        <v>0.05</v>
      </c>
      <c r="F20" s="91" t="s">
        <v>71</v>
      </c>
      <c r="G20" s="34"/>
      <c r="H20" s="34"/>
    </row>
    <row r="21" spans="1:8" x14ac:dyDescent="0.25">
      <c r="A21" s="34" t="s">
        <v>118</v>
      </c>
      <c r="B21" s="34"/>
      <c r="C21" s="34"/>
      <c r="D21" s="46">
        <f>F13*E21</f>
        <v>3538.848</v>
      </c>
      <c r="E21" s="52">
        <v>9.6000000000000002E-2</v>
      </c>
      <c r="F21" s="91" t="s">
        <v>71</v>
      </c>
      <c r="G21" s="34"/>
      <c r="H21" s="34"/>
    </row>
    <row r="22" spans="1:8" x14ac:dyDescent="0.25">
      <c r="A22" s="47" t="s">
        <v>72</v>
      </c>
      <c r="B22" s="34"/>
      <c r="C22" s="34"/>
      <c r="D22" s="48">
        <f>IF(F13*E22&lt;H22,F13*E22,H22)</f>
        <v>494.6461655</v>
      </c>
      <c r="E22" s="53">
        <v>1.34185E-2</v>
      </c>
      <c r="F22" s="91" t="s">
        <v>71</v>
      </c>
      <c r="G22" s="89" t="s">
        <v>73</v>
      </c>
      <c r="H22" s="90">
        <v>1721.6</v>
      </c>
    </row>
    <row r="23" spans="1:8" x14ac:dyDescent="0.25">
      <c r="A23" s="47" t="s">
        <v>111</v>
      </c>
      <c r="B23" s="34"/>
      <c r="C23" s="34"/>
      <c r="D23" s="48">
        <f>F13*E23</f>
        <v>294.904</v>
      </c>
      <c r="E23" s="52">
        <v>8.0000000000000002E-3</v>
      </c>
      <c r="F23" s="91" t="s">
        <v>71</v>
      </c>
      <c r="G23" s="54"/>
      <c r="H23" s="55"/>
    </row>
    <row r="24" spans="1:8" x14ac:dyDescent="0.25">
      <c r="A24" s="47" t="s">
        <v>76</v>
      </c>
      <c r="B24" s="34"/>
      <c r="C24" s="34"/>
      <c r="D24" s="48">
        <f>F13*E24</f>
        <v>0</v>
      </c>
      <c r="E24" s="52">
        <f>IF((G15=Sheet2!K3),Sheet2!K18,Sheet2!K19)</f>
        <v>0</v>
      </c>
      <c r="F24" s="91" t="s">
        <v>66</v>
      </c>
      <c r="G24" s="54"/>
      <c r="H24" s="55"/>
    </row>
    <row r="25" spans="1:8" ht="15.75" thickBot="1" x14ac:dyDescent="0.3">
      <c r="A25" s="56" t="s">
        <v>119</v>
      </c>
      <c r="B25" s="49"/>
      <c r="C25" s="49"/>
      <c r="D25" s="86">
        <f>D17+D18+D19+D20+D22+D23+D24+F13+D21</f>
        <v>52058.317475159594</v>
      </c>
      <c r="E25" s="34"/>
      <c r="F25" s="34"/>
      <c r="G25" s="34"/>
      <c r="H25" s="34"/>
    </row>
    <row r="26" spans="1:8" ht="15.75" thickTop="1" x14ac:dyDescent="0.25">
      <c r="A26" s="34" t="s">
        <v>75</v>
      </c>
      <c r="B26" s="34"/>
      <c r="C26" s="34"/>
      <c r="D26" s="58">
        <f>(D25 -F13)/F13</f>
        <v>0.41221054919999983</v>
      </c>
      <c r="E26" s="34"/>
      <c r="F26" s="34"/>
      <c r="G26" s="34"/>
      <c r="H26" s="34"/>
    </row>
    <row r="27" spans="1:8" ht="15.75" thickBot="1" x14ac:dyDescent="0.3">
      <c r="A27" s="56" t="s">
        <v>126</v>
      </c>
      <c r="B27" s="49"/>
      <c r="C27" s="49"/>
      <c r="D27" s="49"/>
      <c r="E27" s="86">
        <f>D17+D18+D19+D20+D22+D23+F13+D24</f>
        <v>48519.469475159596</v>
      </c>
      <c r="F27" s="34"/>
      <c r="G27" s="34"/>
      <c r="H27" s="34"/>
    </row>
    <row r="28" spans="1:8" ht="15.75" thickTop="1" x14ac:dyDescent="0.25">
      <c r="A28" s="34" t="s">
        <v>75</v>
      </c>
      <c r="B28" s="34"/>
      <c r="C28" s="34"/>
      <c r="D28" s="50">
        <f>(E27 -F13)/F13</f>
        <v>0.31621054919999991</v>
      </c>
      <c r="E28" s="34"/>
      <c r="F28" s="34"/>
      <c r="G28" s="34"/>
      <c r="H28" s="34"/>
    </row>
    <row r="29" spans="1:8" x14ac:dyDescent="0.25">
      <c r="A29" s="34" t="s">
        <v>120</v>
      </c>
      <c r="B29" s="34"/>
      <c r="C29" s="34"/>
      <c r="D29" s="34"/>
      <c r="E29" s="34"/>
      <c r="F29" s="34"/>
      <c r="G29" s="34"/>
      <c r="H29" s="34"/>
    </row>
    <row r="30" spans="1:8" ht="10.5" customHeight="1" x14ac:dyDescent="0.25">
      <c r="A30" s="34"/>
      <c r="B30" s="34"/>
      <c r="C30" s="34"/>
      <c r="D30" s="34"/>
      <c r="E30" s="34"/>
      <c r="F30" s="34"/>
      <c r="G30" s="34"/>
      <c r="H30" s="34"/>
    </row>
    <row r="31" spans="1:8" ht="18.75" x14ac:dyDescent="0.3">
      <c r="A31" s="40" t="s">
        <v>128</v>
      </c>
      <c r="B31" s="34"/>
      <c r="C31" s="34"/>
      <c r="D31" s="34"/>
      <c r="E31" s="34"/>
      <c r="F31" s="34"/>
      <c r="G31" s="34"/>
      <c r="H31" s="34"/>
    </row>
    <row r="32" spans="1:8" x14ac:dyDescent="0.25">
      <c r="A32" s="41" t="s">
        <v>60</v>
      </c>
      <c r="B32" s="34"/>
      <c r="C32" s="83" t="s">
        <v>35</v>
      </c>
      <c r="D32" s="34"/>
      <c r="E32" s="34"/>
      <c r="F32" s="34"/>
      <c r="G32" s="34"/>
      <c r="H32" s="34"/>
    </row>
    <row r="33" spans="1:8" x14ac:dyDescent="0.25">
      <c r="A33" s="41" t="s">
        <v>58</v>
      </c>
      <c r="B33" s="34"/>
      <c r="C33" s="119" t="s">
        <v>129</v>
      </c>
      <c r="D33" s="120"/>
      <c r="E33" s="120"/>
      <c r="F33" s="121"/>
      <c r="G33" s="34"/>
      <c r="H33" s="34"/>
    </row>
    <row r="34" spans="1:8" x14ac:dyDescent="0.25">
      <c r="A34" s="41"/>
      <c r="B34" s="42"/>
      <c r="C34" s="42"/>
      <c r="D34" s="122" t="s">
        <v>123</v>
      </c>
      <c r="E34" s="123"/>
      <c r="F34" s="88">
        <v>100000</v>
      </c>
      <c r="G34" s="42" t="s">
        <v>114</v>
      </c>
      <c r="H34" s="87">
        <v>0.5</v>
      </c>
    </row>
    <row r="35" spans="1:8" x14ac:dyDescent="0.25">
      <c r="A35" s="44" t="s">
        <v>61</v>
      </c>
      <c r="B35" s="34"/>
      <c r="C35" s="34"/>
      <c r="D35" s="34"/>
      <c r="E35" s="34"/>
      <c r="F35" s="34"/>
      <c r="G35" s="45" t="s">
        <v>62</v>
      </c>
      <c r="H35" s="34"/>
    </row>
    <row r="36" spans="1:8" x14ac:dyDescent="0.25">
      <c r="A36" s="44" t="s">
        <v>64</v>
      </c>
      <c r="B36" s="34"/>
      <c r="C36" s="34"/>
      <c r="D36" s="34"/>
      <c r="E36" s="34"/>
      <c r="F36" s="34"/>
      <c r="G36" s="84" t="s">
        <v>62</v>
      </c>
      <c r="H36" s="34"/>
    </row>
    <row r="37" spans="1:8" x14ac:dyDescent="0.25">
      <c r="A37" s="34"/>
      <c r="B37" s="34"/>
      <c r="C37" s="34"/>
      <c r="D37" s="34"/>
      <c r="E37" s="51" t="s">
        <v>77</v>
      </c>
      <c r="F37" s="124" t="s">
        <v>78</v>
      </c>
      <c r="G37" s="124"/>
      <c r="H37" s="34"/>
    </row>
    <row r="38" spans="1:8" x14ac:dyDescent="0.25">
      <c r="A38" s="34" t="s">
        <v>65</v>
      </c>
      <c r="B38" s="34"/>
      <c r="C38" s="34"/>
      <c r="D38" s="46">
        <f>(F34*H34)*E38</f>
        <v>8500</v>
      </c>
      <c r="E38" s="52">
        <v>0.17</v>
      </c>
      <c r="F38" s="91" t="s">
        <v>66</v>
      </c>
      <c r="G38" s="34"/>
      <c r="H38" s="34"/>
    </row>
    <row r="39" spans="1:8" x14ac:dyDescent="0.25">
      <c r="A39" s="34" t="s">
        <v>67</v>
      </c>
      <c r="B39" s="34"/>
      <c r="C39" s="34"/>
      <c r="D39" s="46">
        <f>((D38+F34+D43)*H34)*E39</f>
        <v>3002.2004375000001</v>
      </c>
      <c r="E39" s="52">
        <v>5.5E-2</v>
      </c>
      <c r="F39" s="91" t="s">
        <v>68</v>
      </c>
      <c r="G39" s="34"/>
      <c r="H39" s="34"/>
    </row>
    <row r="40" spans="1:8" x14ac:dyDescent="0.25">
      <c r="A40" s="34" t="s">
        <v>69</v>
      </c>
      <c r="B40" s="34"/>
      <c r="C40" s="34"/>
      <c r="D40" s="46">
        <f>((F34+D38+D43)*H34)*E40</f>
        <v>447.60079250000007</v>
      </c>
      <c r="E40" s="52">
        <v>8.2000000000000007E-3</v>
      </c>
      <c r="F40" s="91" t="s">
        <v>68</v>
      </c>
      <c r="G40" s="34"/>
      <c r="H40" s="34"/>
    </row>
    <row r="41" spans="1:8" x14ac:dyDescent="0.25">
      <c r="A41" s="34" t="s">
        <v>70</v>
      </c>
      <c r="B41" s="34"/>
      <c r="C41" s="34"/>
      <c r="D41" s="46">
        <f>(F34*H34)*E41</f>
        <v>2500</v>
      </c>
      <c r="E41" s="52">
        <v>0.05</v>
      </c>
      <c r="F41" s="91" t="s">
        <v>71</v>
      </c>
      <c r="G41" s="34"/>
      <c r="H41" s="34"/>
    </row>
    <row r="42" spans="1:8" x14ac:dyDescent="0.25">
      <c r="A42" s="34" t="s">
        <v>118</v>
      </c>
      <c r="B42" s="34"/>
      <c r="C42" s="34"/>
      <c r="D42" s="46">
        <f>(F34*H34)*E42</f>
        <v>4800</v>
      </c>
      <c r="E42" s="52">
        <v>9.6000000000000002E-2</v>
      </c>
      <c r="F42" s="91" t="s">
        <v>71</v>
      </c>
      <c r="G42" s="34"/>
      <c r="H42" s="34"/>
    </row>
    <row r="43" spans="1:8" x14ac:dyDescent="0.25">
      <c r="A43" s="47" t="s">
        <v>72</v>
      </c>
      <c r="B43" s="34"/>
      <c r="C43" s="34"/>
      <c r="D43" s="48">
        <f>IF(((F34*H34)*E43)&lt;H43,((F34*H34)*E43),H43)</f>
        <v>670.92499999999995</v>
      </c>
      <c r="E43" s="53">
        <v>1.34185E-2</v>
      </c>
      <c r="F43" s="91" t="s">
        <v>71</v>
      </c>
      <c r="G43" s="89" t="s">
        <v>73</v>
      </c>
      <c r="H43" s="90">
        <v>1721.6</v>
      </c>
    </row>
    <row r="44" spans="1:8" x14ac:dyDescent="0.25">
      <c r="A44" s="47" t="s">
        <v>111</v>
      </c>
      <c r="B44" s="34"/>
      <c r="C44" s="34"/>
      <c r="D44" s="48">
        <f>(F34*H34)*E44</f>
        <v>400</v>
      </c>
      <c r="E44" s="52">
        <v>8.0000000000000002E-3</v>
      </c>
      <c r="F44" s="91" t="s">
        <v>71</v>
      </c>
      <c r="G44" s="54"/>
      <c r="H44" s="55"/>
    </row>
    <row r="45" spans="1:8" x14ac:dyDescent="0.25">
      <c r="A45" s="47" t="s">
        <v>76</v>
      </c>
      <c r="B45" s="34"/>
      <c r="C45" s="34"/>
      <c r="D45" s="48">
        <f>(F34*H34)*E45</f>
        <v>1250</v>
      </c>
      <c r="E45" s="52">
        <f>IF((G36=Sheet2!K3),Sheet2!K18,Sheet2!K19)</f>
        <v>2.5000000000000001E-2</v>
      </c>
      <c r="F45" s="91" t="s">
        <v>66</v>
      </c>
      <c r="G45" s="54"/>
      <c r="H45" s="55"/>
    </row>
    <row r="46" spans="1:8" ht="15.75" thickBot="1" x14ac:dyDescent="0.3">
      <c r="A46" s="56" t="s">
        <v>119</v>
      </c>
      <c r="B46" s="49"/>
      <c r="C46" s="49"/>
      <c r="D46" s="86">
        <f>D38+D39+D40+D41+D43+D44+D45+F34+D42</f>
        <v>121570.72623</v>
      </c>
      <c r="E46" s="34"/>
      <c r="F46" s="34"/>
      <c r="G46" s="34"/>
      <c r="H46" s="34"/>
    </row>
    <row r="47" spans="1:8" ht="15.75" thickTop="1" x14ac:dyDescent="0.25">
      <c r="A47" s="34" t="s">
        <v>75</v>
      </c>
      <c r="B47" s="34"/>
      <c r="C47" s="34"/>
      <c r="D47" s="58">
        <f>(D46 -F34)/F34</f>
        <v>0.21570726230000001</v>
      </c>
      <c r="E47" s="34"/>
      <c r="F47" s="34"/>
      <c r="G47" s="34"/>
      <c r="H47" s="34"/>
    </row>
    <row r="48" spans="1:8" ht="15.75" thickBot="1" x14ac:dyDescent="0.3">
      <c r="A48" s="56" t="s">
        <v>126</v>
      </c>
      <c r="B48" s="49"/>
      <c r="C48" s="49"/>
      <c r="D48" s="49"/>
      <c r="E48" s="86">
        <f>D38+D39+D40+D41+D43+D44+F34+D45</f>
        <v>116770.72623</v>
      </c>
      <c r="F48" s="34"/>
      <c r="G48" s="34"/>
      <c r="H48" s="34"/>
    </row>
    <row r="49" spans="1:8" ht="15.75" thickTop="1" x14ac:dyDescent="0.25">
      <c r="A49" s="34" t="s">
        <v>75</v>
      </c>
      <c r="B49" s="34"/>
      <c r="C49" s="34"/>
      <c r="D49" s="50">
        <f>(E48 -F34)/F34</f>
        <v>0.16770726229999999</v>
      </c>
      <c r="E49" s="34"/>
      <c r="F49" s="34"/>
      <c r="G49" s="34"/>
      <c r="H49" s="34"/>
    </row>
    <row r="50" spans="1:8" x14ac:dyDescent="0.25">
      <c r="A50" s="34" t="s">
        <v>120</v>
      </c>
      <c r="B50" s="34"/>
      <c r="C50" s="34"/>
      <c r="D50" s="34"/>
      <c r="E50" s="34"/>
      <c r="F50" s="34"/>
      <c r="G50" s="34"/>
      <c r="H50" s="34"/>
    </row>
  </sheetData>
  <sheetProtection algorithmName="SHA-512" hashValue="Dr4rVMkG6s4eJq2CtQhmwuiNsRA7msjCptMcGs6K3cGcv95CCmbDzP6OPXr321qU8M3byQt7oDCsRdpMoT0KDA==" saltValue="h6dTqugwWUZuMN1RdZvbLw==" spinCount="100000" sheet="1" selectLockedCells="1"/>
  <mergeCells count="10">
    <mergeCell ref="F1:H3"/>
    <mergeCell ref="C33:F33"/>
    <mergeCell ref="D34:E34"/>
    <mergeCell ref="F37:G37"/>
    <mergeCell ref="A4:H4"/>
    <mergeCell ref="C11:F11"/>
    <mergeCell ref="F16:G16"/>
    <mergeCell ref="D13:E13"/>
    <mergeCell ref="A5:H7"/>
    <mergeCell ref="A8:H8"/>
  </mergeCells>
  <dataValidations count="3">
    <dataValidation type="list" allowBlank="1" showInputMessage="1" showErrorMessage="1" sqref="C32 C10" xr:uid="{00000000-0002-0000-0000-000000000000}">
      <formula1>Classification</formula1>
    </dataValidation>
    <dataValidation type="list" allowBlank="1" showInputMessage="1" showErrorMessage="1" sqref="B12" xr:uid="{00000000-0002-0000-0000-000001000000}">
      <formula1>INDIRECT($C$10)</formula1>
    </dataValidation>
    <dataValidation type="list" allowBlank="1" showInputMessage="1" showErrorMessage="1" sqref="D12" xr:uid="{00000000-0002-0000-0000-000002000000}">
      <formula1>INDIRECT($A$12)</formula1>
    </dataValidation>
  </dataValidations>
  <pageMargins left="0.70866141732283472" right="0.70866141732283472" top="0.39370078740157483" bottom="0.74803149606299213" header="0.39370078740157483" footer="0.31496062992125984"/>
  <pageSetup paperSize="9" orientation="portrait" r:id="rId1"/>
  <headerFooter>
    <oddHeader xml:space="preserve">&amp;C
</oddHeader>
    <oddFooter>&amp;C
&amp;1#&amp;"Calibri,Regular"&amp;12&amp;K000000 ECU Internal Information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3000000}">
          <x14:formula1>
            <xm:f>Sheet2!$K$3:$K$4</xm:f>
          </x14:formula1>
          <xm:sqref>G15 G36</xm:sqref>
        </x14:dataValidation>
        <x14:dataValidation type="list" allowBlank="1" showInputMessage="1" showErrorMessage="1" xr:uid="{CA95625F-2A75-4B1E-965B-96D8BFB609B2}">
          <x14:formula1>
            <xm:f>Sheet3!$A$3:$B$3</xm:f>
          </x14:formula1>
          <xm:sqref>C11:F11 C33:F33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K41"/>
  <sheetViews>
    <sheetView showWhiteSpace="0" view="pageLayout" topLeftCell="B1" zoomScale="85" zoomScaleNormal="100" zoomScalePageLayoutView="85" workbookViewId="0">
      <selection activeCell="I27" sqref="I27"/>
    </sheetView>
  </sheetViews>
  <sheetFormatPr defaultRowHeight="15" x14ac:dyDescent="0.25"/>
  <cols>
    <col min="1" max="1" width="0" hidden="1" customWidth="1"/>
    <col min="2" max="2" width="6" customWidth="1"/>
    <col min="3" max="3" width="3.42578125" customWidth="1"/>
    <col min="4" max="4" width="9.42578125" customWidth="1"/>
    <col min="5" max="5" width="13" customWidth="1"/>
    <col min="6" max="6" width="10.140625" customWidth="1"/>
    <col min="7" max="7" width="6.42578125" customWidth="1"/>
    <col min="8" max="8" width="11.7109375" customWidth="1"/>
    <col min="9" max="9" width="8.42578125" customWidth="1"/>
    <col min="11" max="11" width="9.28515625" customWidth="1"/>
  </cols>
  <sheetData>
    <row r="1" spans="1:11" ht="12" customHeight="1" x14ac:dyDescent="0.25">
      <c r="A1" s="107"/>
      <c r="B1" s="107"/>
      <c r="C1" s="107"/>
      <c r="D1" s="107"/>
      <c r="E1" s="108"/>
      <c r="F1" s="109"/>
      <c r="G1" s="109"/>
      <c r="H1" s="109"/>
      <c r="I1" s="118" t="e" vm="1">
        <v>#VALUE!</v>
      </c>
      <c r="J1" s="118"/>
      <c r="K1" s="118"/>
    </row>
    <row r="2" spans="1:11" ht="35.25" customHeight="1" x14ac:dyDescent="0.5">
      <c r="A2" s="107"/>
      <c r="B2" s="112"/>
      <c r="C2" s="112" t="s">
        <v>145</v>
      </c>
      <c r="D2" s="112"/>
      <c r="E2" s="108"/>
      <c r="F2" s="109"/>
      <c r="G2" s="109"/>
      <c r="H2" s="109"/>
      <c r="I2" s="118"/>
      <c r="J2" s="118"/>
      <c r="K2" s="118"/>
    </row>
    <row r="3" spans="1:11" ht="25.5" customHeight="1" x14ac:dyDescent="0.3">
      <c r="A3" s="107"/>
      <c r="B3" s="110"/>
      <c r="C3" s="110" t="s">
        <v>147</v>
      </c>
      <c r="D3" s="110"/>
      <c r="E3" s="111"/>
      <c r="F3" s="109"/>
      <c r="G3" s="109"/>
      <c r="H3" s="109"/>
      <c r="I3" s="118"/>
      <c r="J3" s="118"/>
      <c r="K3" s="118"/>
    </row>
    <row r="6" spans="1:11" ht="27" customHeight="1" x14ac:dyDescent="0.3">
      <c r="B6" s="125" t="s">
        <v>130</v>
      </c>
      <c r="C6" s="125"/>
      <c r="D6" s="125"/>
      <c r="E6" s="125"/>
      <c r="F6" s="125"/>
      <c r="G6" s="125"/>
      <c r="H6" s="125"/>
      <c r="I6" s="125"/>
      <c r="J6" s="125"/>
      <c r="K6" s="125"/>
    </row>
    <row r="7" spans="1:11" ht="14.25" customHeight="1" x14ac:dyDescent="0.3">
      <c r="B7" s="105"/>
      <c r="C7" s="105"/>
      <c r="D7" s="105"/>
      <c r="E7" s="105"/>
      <c r="F7" s="105"/>
      <c r="G7" s="105"/>
      <c r="H7" s="105"/>
      <c r="I7" s="105"/>
      <c r="J7" s="105"/>
      <c r="K7" s="105"/>
    </row>
    <row r="8" spans="1:11" ht="12" customHeight="1" x14ac:dyDescent="0.25">
      <c r="A8" s="126" t="s">
        <v>122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</row>
    <row r="9" spans="1:11" ht="12" customHeight="1" x14ac:dyDescent="0.25">
      <c r="A9" s="126"/>
      <c r="B9" s="126"/>
      <c r="C9" s="126"/>
      <c r="D9" s="126"/>
      <c r="E9" s="126"/>
      <c r="F9" s="126"/>
      <c r="G9" s="126"/>
      <c r="H9" s="126"/>
      <c r="I9" s="126"/>
      <c r="J9" s="126"/>
      <c r="K9" s="126"/>
    </row>
    <row r="10" spans="1:11" ht="8.25" customHeight="1" x14ac:dyDescent="0.25">
      <c r="A10" s="126"/>
      <c r="B10" s="126"/>
      <c r="C10" s="126"/>
      <c r="D10" s="126"/>
      <c r="E10" s="126"/>
      <c r="F10" s="126"/>
      <c r="G10" s="126"/>
      <c r="H10" s="126"/>
      <c r="I10" s="126"/>
      <c r="J10" s="126"/>
      <c r="K10" s="126"/>
    </row>
    <row r="11" spans="1:11" ht="24.75" customHeight="1" x14ac:dyDescent="0.25">
      <c r="A11" s="127" t="s">
        <v>131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27"/>
    </row>
    <row r="13" spans="1:11" ht="18.75" x14ac:dyDescent="0.3">
      <c r="B13" s="40" t="s">
        <v>112</v>
      </c>
      <c r="C13" s="40"/>
    </row>
    <row r="14" spans="1:11" x14ac:dyDescent="0.25">
      <c r="B14" s="13" t="s">
        <v>60</v>
      </c>
      <c r="C14" s="13"/>
      <c r="E14" s="98" t="s">
        <v>59</v>
      </c>
      <c r="H14" s="34"/>
    </row>
    <row r="15" spans="1:11" x14ac:dyDescent="0.25">
      <c r="B15" s="13" t="s">
        <v>58</v>
      </c>
      <c r="C15" s="13"/>
      <c r="E15" s="135" t="s">
        <v>38</v>
      </c>
      <c r="F15" s="136"/>
      <c r="G15" s="136"/>
      <c r="H15" s="136"/>
      <c r="I15" s="137"/>
    </row>
    <row r="16" spans="1:11" ht="22.15" customHeight="1" x14ac:dyDescent="0.25">
      <c r="B16" s="133" t="str">
        <f>IF(E14&lt;&gt;Sheet2!H14,"Sessional","HEW")</f>
        <v>HEW</v>
      </c>
      <c r="C16" s="134"/>
      <c r="D16" s="92" t="s">
        <v>26</v>
      </c>
      <c r="E16" s="14" t="s">
        <v>1</v>
      </c>
      <c r="F16" s="113" t="s">
        <v>9</v>
      </c>
      <c r="G16" s="115"/>
      <c r="H16" s="116" t="s">
        <v>2</v>
      </c>
      <c r="I16" s="15">
        <f t="array" ref="I16">INDEX(Sheet2!A2:E111, MATCH(1, (Sheet2!A2:A111=D16)*(Sheet2!C2:C111=F16),0), 5)</f>
        <v>70.476767382450333</v>
      </c>
      <c r="J16" s="143" t="s">
        <v>115</v>
      </c>
      <c r="K16" s="144"/>
    </row>
    <row r="17" spans="2:10" ht="28.15" customHeight="1" x14ac:dyDescent="0.25">
      <c r="B17" s="138" t="s">
        <v>121</v>
      </c>
      <c r="C17" s="138"/>
      <c r="D17" s="139"/>
      <c r="E17" s="92">
        <v>20</v>
      </c>
      <c r="F17" s="140" t="s">
        <v>117</v>
      </c>
      <c r="G17" s="141"/>
      <c r="H17" s="114">
        <f>I16*E17</f>
        <v>1409.5353476490068</v>
      </c>
    </row>
    <row r="18" spans="2:10" x14ac:dyDescent="0.25">
      <c r="B18" s="35"/>
      <c r="C18" s="106"/>
      <c r="D18" s="35"/>
      <c r="E18" s="37"/>
      <c r="F18" s="35"/>
      <c r="G18" s="35"/>
      <c r="H18" s="36"/>
    </row>
    <row r="19" spans="2:10" x14ac:dyDescent="0.25">
      <c r="H19" s="22" t="s">
        <v>77</v>
      </c>
      <c r="I19" s="142" t="s">
        <v>78</v>
      </c>
      <c r="J19" s="142"/>
    </row>
    <row r="20" spans="2:10" x14ac:dyDescent="0.25">
      <c r="B20" t="s">
        <v>65</v>
      </c>
      <c r="F20" s="16">
        <f xml:space="preserve"> H17*H20</f>
        <v>169.14424171788082</v>
      </c>
      <c r="H20" s="17">
        <v>0.12</v>
      </c>
      <c r="I20" s="94" t="s">
        <v>66</v>
      </c>
    </row>
    <row r="21" spans="2:10" x14ac:dyDescent="0.25">
      <c r="B21" t="s">
        <v>67</v>
      </c>
      <c r="F21" s="16">
        <f>(F20+H17)*H21</f>
        <v>86.827377415178816</v>
      </c>
      <c r="H21" s="17">
        <v>5.5E-2</v>
      </c>
      <c r="I21" s="94" t="s">
        <v>116</v>
      </c>
    </row>
    <row r="22" spans="2:10" x14ac:dyDescent="0.25">
      <c r="B22" t="s">
        <v>69</v>
      </c>
      <c r="F22" s="16">
        <f>(H17+F20)*H22</f>
        <v>12.945172632808479</v>
      </c>
      <c r="H22" s="17">
        <v>8.2000000000000007E-3</v>
      </c>
      <c r="I22" s="94" t="s">
        <v>116</v>
      </c>
    </row>
    <row r="24" spans="2:10" ht="15.75" thickBot="1" x14ac:dyDescent="0.3">
      <c r="B24" s="18" t="s">
        <v>74</v>
      </c>
      <c r="C24" s="18"/>
      <c r="D24" s="20"/>
      <c r="E24" s="20"/>
      <c r="F24" s="96">
        <f>F20+F21+F22+H17</f>
        <v>1678.4521394148749</v>
      </c>
    </row>
    <row r="25" spans="2:10" ht="15.75" thickTop="1" x14ac:dyDescent="0.25">
      <c r="B25" t="s">
        <v>75</v>
      </c>
      <c r="F25" s="97">
        <f>IFERROR((F24 - H17)/H17,"")</f>
        <v>0.19078399999999998</v>
      </c>
    </row>
    <row r="26" spans="2:10" x14ac:dyDescent="0.25">
      <c r="B26" s="57"/>
      <c r="C26" s="57"/>
    </row>
    <row r="29" spans="2:10" ht="18.75" x14ac:dyDescent="0.3">
      <c r="B29" s="40" t="s">
        <v>124</v>
      </c>
      <c r="C29" s="40"/>
    </row>
    <row r="30" spans="2:10" x14ac:dyDescent="0.25">
      <c r="B30" s="13" t="s">
        <v>60</v>
      </c>
      <c r="C30" s="13"/>
      <c r="E30" s="98" t="s">
        <v>59</v>
      </c>
      <c r="H30" s="34"/>
    </row>
    <row r="31" spans="2:10" x14ac:dyDescent="0.25">
      <c r="B31" s="13" t="s">
        <v>58</v>
      </c>
      <c r="C31" s="13"/>
      <c r="E31" s="135" t="s">
        <v>38</v>
      </c>
      <c r="F31" s="136"/>
      <c r="G31" s="136"/>
      <c r="H31" s="136"/>
      <c r="I31" s="137"/>
    </row>
    <row r="32" spans="2:10" ht="33" customHeight="1" x14ac:dyDescent="0.25">
      <c r="B32" s="128" t="s">
        <v>125</v>
      </c>
      <c r="C32" s="129"/>
      <c r="D32" s="93">
        <v>25</v>
      </c>
      <c r="E32" s="130" t="s">
        <v>115</v>
      </c>
      <c r="F32" s="131"/>
      <c r="G32" s="131"/>
      <c r="H32" s="131"/>
      <c r="I32" s="132"/>
    </row>
    <row r="33" spans="2:10" ht="28.15" customHeight="1" x14ac:dyDescent="0.25">
      <c r="B33" s="138" t="s">
        <v>121</v>
      </c>
      <c r="C33" s="138"/>
      <c r="D33" s="139"/>
      <c r="E33" s="117"/>
      <c r="F33" s="140" t="s">
        <v>117</v>
      </c>
      <c r="G33" s="141"/>
      <c r="H33" s="114">
        <f>D32*E33</f>
        <v>0</v>
      </c>
    </row>
    <row r="34" spans="2:10" x14ac:dyDescent="0.25">
      <c r="B34" s="39"/>
      <c r="C34" s="106"/>
      <c r="D34" s="39"/>
      <c r="E34" s="37"/>
      <c r="F34" s="39"/>
      <c r="G34" s="39"/>
      <c r="H34" s="36"/>
    </row>
    <row r="35" spans="2:10" x14ac:dyDescent="0.25">
      <c r="H35" s="22" t="s">
        <v>77</v>
      </c>
      <c r="I35" s="142" t="s">
        <v>78</v>
      </c>
      <c r="J35" s="142"/>
    </row>
    <row r="36" spans="2:10" x14ac:dyDescent="0.25">
      <c r="B36" t="s">
        <v>65</v>
      </c>
      <c r="F36" s="16">
        <f xml:space="preserve"> H33*H36</f>
        <v>0</v>
      </c>
      <c r="H36" s="17">
        <v>0.12</v>
      </c>
      <c r="I36" s="94" t="s">
        <v>66</v>
      </c>
    </row>
    <row r="37" spans="2:10" x14ac:dyDescent="0.25">
      <c r="B37" t="s">
        <v>67</v>
      </c>
      <c r="F37" s="16">
        <f>(F36+H33)*H37</f>
        <v>0</v>
      </c>
      <c r="H37" s="17">
        <v>5.5E-2</v>
      </c>
      <c r="I37" s="94" t="s">
        <v>116</v>
      </c>
    </row>
    <row r="38" spans="2:10" x14ac:dyDescent="0.25">
      <c r="B38" t="s">
        <v>69</v>
      </c>
      <c r="F38" s="16">
        <f>(H33+F36)*H38</f>
        <v>0</v>
      </c>
      <c r="H38" s="17">
        <v>8.2000000000000007E-3</v>
      </c>
      <c r="I38" s="94" t="s">
        <v>116</v>
      </c>
    </row>
    <row r="39" spans="2:10" x14ac:dyDescent="0.25">
      <c r="I39" s="95"/>
    </row>
    <row r="40" spans="2:10" ht="15.75" thickBot="1" x14ac:dyDescent="0.3">
      <c r="B40" s="18" t="s">
        <v>74</v>
      </c>
      <c r="C40" s="18"/>
      <c r="D40" s="20"/>
      <c r="E40" s="20"/>
      <c r="F40" s="96">
        <f>F36+F37+F38+H33</f>
        <v>0</v>
      </c>
    </row>
    <row r="41" spans="2:10" ht="15.75" thickTop="1" x14ac:dyDescent="0.25">
      <c r="B41" t="s">
        <v>75</v>
      </c>
      <c r="F41" s="97" t="str">
        <f>IFERROR((F40 - H33)/H33,"")</f>
        <v/>
      </c>
    </row>
  </sheetData>
  <sheetProtection selectLockedCells="1"/>
  <mergeCells count="16">
    <mergeCell ref="B33:D33"/>
    <mergeCell ref="F33:G33"/>
    <mergeCell ref="I35:J35"/>
    <mergeCell ref="E15:I15"/>
    <mergeCell ref="I19:J19"/>
    <mergeCell ref="J16:K16"/>
    <mergeCell ref="B17:D17"/>
    <mergeCell ref="F17:G17"/>
    <mergeCell ref="I1:K3"/>
    <mergeCell ref="B32:C32"/>
    <mergeCell ref="E32:I32"/>
    <mergeCell ref="B16:C16"/>
    <mergeCell ref="E31:I31"/>
    <mergeCell ref="B6:K6"/>
    <mergeCell ref="A8:K10"/>
    <mergeCell ref="A11:K11"/>
  </mergeCells>
  <dataValidations count="3">
    <dataValidation type="list" allowBlank="1" showInputMessage="1" showErrorMessage="1" sqref="F16" xr:uid="{00000000-0002-0000-0100-000000000000}">
      <formula1>INDIRECT($B$16)</formula1>
    </dataValidation>
    <dataValidation type="list" allowBlank="1" showInputMessage="1" showErrorMessage="1" sqref="D16" xr:uid="{00000000-0002-0000-0100-000001000000}">
      <formula1>INDIRECT($E$14)</formula1>
    </dataValidation>
    <dataValidation type="list" allowBlank="1" showInputMessage="1" showErrorMessage="1" sqref="E14 E30" xr:uid="{00000000-0002-0000-0100-000002000000}">
      <formula1>Classification</formula1>
    </dataValidation>
  </dataValidations>
  <pageMargins left="0.70866141732283472" right="0.70866141732283472" top="0.39370078740157483" bottom="0.74803149606299213" header="0.39370078740157483" footer="0.31496062992125984"/>
  <pageSetup paperSize="9" orientation="portrait" r:id="rId1"/>
  <headerFooter>
    <oddHeader xml:space="preserve">&amp;C
</oddHeader>
    <oddFooter>&amp;C
&amp;1#&amp;"Calibri,Regular"&amp;12&amp;K000000 ECU Internal Information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11"/>
  <sheetViews>
    <sheetView workbookViewId="0">
      <selection activeCell="I33" sqref="I33"/>
    </sheetView>
  </sheetViews>
  <sheetFormatPr defaultRowHeight="15" x14ac:dyDescent="0.25"/>
  <cols>
    <col min="5" max="5" width="12.140625" bestFit="1" customWidth="1"/>
    <col min="13" max="13" width="16.140625" bestFit="1" customWidth="1"/>
    <col min="14" max="14" width="4.5703125" bestFit="1" customWidth="1"/>
    <col min="15" max="15" width="12.140625" bestFit="1" customWidth="1"/>
  </cols>
  <sheetData>
    <row r="1" spans="1:17" x14ac:dyDescent="0.25">
      <c r="A1" s="1" t="s">
        <v>3</v>
      </c>
      <c r="B1" s="1" t="s">
        <v>4</v>
      </c>
      <c r="C1" s="2" t="s">
        <v>1</v>
      </c>
      <c r="D1" s="8" t="s">
        <v>19</v>
      </c>
      <c r="E1" s="1" t="s">
        <v>20</v>
      </c>
    </row>
    <row r="2" spans="1:17" x14ac:dyDescent="0.25">
      <c r="A2" s="3" t="s">
        <v>5</v>
      </c>
      <c r="B2" s="3" t="s">
        <v>6</v>
      </c>
      <c r="C2" s="4" t="s">
        <v>7</v>
      </c>
      <c r="D2" s="60">
        <v>30.319783156272401</v>
      </c>
      <c r="E2" s="60">
        <v>37.899728945340499</v>
      </c>
      <c r="H2" t="s">
        <v>5</v>
      </c>
      <c r="I2" s="12" t="s">
        <v>7</v>
      </c>
      <c r="Q2" s="23" t="s">
        <v>82</v>
      </c>
    </row>
    <row r="3" spans="1:17" x14ac:dyDescent="0.25">
      <c r="A3" s="3" t="s">
        <v>5</v>
      </c>
      <c r="B3" s="3"/>
      <c r="C3" s="4" t="s">
        <v>8</v>
      </c>
      <c r="D3" s="60">
        <v>31.279784383111032</v>
      </c>
      <c r="E3" s="60">
        <v>39.099730478888787</v>
      </c>
      <c r="H3" t="s">
        <v>13</v>
      </c>
      <c r="I3" s="12" t="s">
        <v>8</v>
      </c>
      <c r="K3" t="s">
        <v>62</v>
      </c>
      <c r="Q3" s="23" t="s">
        <v>83</v>
      </c>
    </row>
    <row r="4" spans="1:17" x14ac:dyDescent="0.25">
      <c r="A4" s="3" t="s">
        <v>5</v>
      </c>
      <c r="B4" s="3"/>
      <c r="C4" s="4" t="s">
        <v>9</v>
      </c>
      <c r="D4" s="60">
        <v>32.241319158235349</v>
      </c>
      <c r="E4" s="60">
        <v>40.301648947794185</v>
      </c>
      <c r="H4" t="s">
        <v>15</v>
      </c>
      <c r="I4" s="12" t="s">
        <v>9</v>
      </c>
      <c r="K4" t="s">
        <v>63</v>
      </c>
      <c r="Q4" s="23" t="s">
        <v>84</v>
      </c>
    </row>
    <row r="5" spans="1:17" x14ac:dyDescent="0.25">
      <c r="A5" s="3"/>
      <c r="B5" s="3"/>
      <c r="C5" s="4"/>
      <c r="D5" s="9"/>
      <c r="E5" s="9"/>
      <c r="H5" t="s">
        <v>17</v>
      </c>
      <c r="I5" s="12" t="s">
        <v>10</v>
      </c>
      <c r="Q5" s="23" t="s">
        <v>88</v>
      </c>
    </row>
    <row r="6" spans="1:17" x14ac:dyDescent="0.25">
      <c r="A6" s="3"/>
      <c r="B6" s="3"/>
      <c r="C6" s="4"/>
      <c r="D6" s="9"/>
      <c r="E6" s="9"/>
      <c r="H6" t="s">
        <v>22</v>
      </c>
      <c r="I6" s="12" t="s">
        <v>11</v>
      </c>
      <c r="Q6" s="23" t="s">
        <v>98</v>
      </c>
    </row>
    <row r="7" spans="1:17" x14ac:dyDescent="0.25">
      <c r="A7" s="3" t="s">
        <v>13</v>
      </c>
      <c r="B7" s="3" t="s">
        <v>14</v>
      </c>
      <c r="C7" s="4" t="s">
        <v>7</v>
      </c>
      <c r="D7" s="61">
        <v>33.202342750597765</v>
      </c>
      <c r="E7" s="61">
        <v>41.50292843824721</v>
      </c>
      <c r="H7" t="s">
        <v>24</v>
      </c>
      <c r="I7" s="12" t="s">
        <v>12</v>
      </c>
      <c r="Q7" s="23" t="s">
        <v>89</v>
      </c>
    </row>
    <row r="8" spans="1:17" x14ac:dyDescent="0.25">
      <c r="A8" s="3" t="s">
        <v>13</v>
      </c>
      <c r="B8" s="3"/>
      <c r="C8" s="4" t="s">
        <v>8</v>
      </c>
      <c r="D8" s="61">
        <v>33.683876912302757</v>
      </c>
      <c r="E8" s="61">
        <v>42.104846140378449</v>
      </c>
      <c r="H8" t="s">
        <v>26</v>
      </c>
      <c r="Q8" s="23" t="s">
        <v>104</v>
      </c>
    </row>
    <row r="9" spans="1:17" x14ac:dyDescent="0.25">
      <c r="A9" s="3" t="s">
        <v>13</v>
      </c>
      <c r="B9" s="3"/>
      <c r="C9" s="4" t="s">
        <v>9</v>
      </c>
      <c r="D9" s="61">
        <v>34.163877525722071</v>
      </c>
      <c r="E9" s="61">
        <v>42.704846907152586</v>
      </c>
      <c r="H9" t="s">
        <v>28</v>
      </c>
      <c r="Q9" s="23" t="s">
        <v>108</v>
      </c>
    </row>
    <row r="10" spans="1:17" x14ac:dyDescent="0.25">
      <c r="A10" s="3" t="s">
        <v>13</v>
      </c>
      <c r="B10" s="3"/>
      <c r="C10" s="4"/>
      <c r="D10" s="9"/>
      <c r="E10" s="9"/>
      <c r="H10" t="s">
        <v>30</v>
      </c>
      <c r="Q10" s="23" t="s">
        <v>105</v>
      </c>
    </row>
    <row r="11" spans="1:17" x14ac:dyDescent="0.25">
      <c r="A11" s="3"/>
      <c r="B11" s="3"/>
      <c r="C11" s="4"/>
      <c r="D11" s="9"/>
      <c r="E11" s="9"/>
      <c r="H11" t="s">
        <v>32</v>
      </c>
      <c r="Q11" s="23" t="s">
        <v>106</v>
      </c>
    </row>
    <row r="12" spans="1:17" x14ac:dyDescent="0.25">
      <c r="A12" s="5" t="s">
        <v>15</v>
      </c>
      <c r="B12" s="5" t="s">
        <v>16</v>
      </c>
      <c r="C12" s="6" t="s">
        <v>7</v>
      </c>
      <c r="D12" s="63">
        <v>34.805411891900178</v>
      </c>
      <c r="E12" s="63">
        <v>43.506764864875223</v>
      </c>
      <c r="F12" s="82"/>
      <c r="I12" s="13" t="s">
        <v>36</v>
      </c>
      <c r="Q12" s="23" t="s">
        <v>107</v>
      </c>
    </row>
    <row r="13" spans="1:17" x14ac:dyDescent="0.25">
      <c r="A13" s="5" t="s">
        <v>15</v>
      </c>
      <c r="B13" s="3"/>
      <c r="C13" s="4" t="s">
        <v>8</v>
      </c>
      <c r="D13" s="62">
        <v>35.764901935976908</v>
      </c>
      <c r="E13" s="62">
        <v>44.706127419971139</v>
      </c>
      <c r="F13" s="82"/>
      <c r="I13" s="13" t="str">
        <f>IF(K11&lt;&gt;Sheet2!P21,"A Level","HEW")</f>
        <v>HEW</v>
      </c>
      <c r="Q13" s="23" t="s">
        <v>99</v>
      </c>
    </row>
    <row r="14" spans="1:17" x14ac:dyDescent="0.25">
      <c r="A14" s="5" t="s">
        <v>15</v>
      </c>
      <c r="B14" s="3"/>
      <c r="C14" s="4" t="s">
        <v>9</v>
      </c>
      <c r="D14" s="62">
        <v>36.723880797291748</v>
      </c>
      <c r="E14" s="62">
        <v>45.904850996614684</v>
      </c>
      <c r="F14" s="82"/>
      <c r="H14" t="s">
        <v>59</v>
      </c>
      <c r="Q14" s="23" t="s">
        <v>100</v>
      </c>
    </row>
    <row r="15" spans="1:17" x14ac:dyDescent="0.25">
      <c r="A15" s="5" t="s">
        <v>15</v>
      </c>
      <c r="B15" s="3"/>
      <c r="C15" s="4" t="s">
        <v>10</v>
      </c>
      <c r="D15" s="62">
        <v>37.687460303463645</v>
      </c>
      <c r="E15" s="62">
        <v>47.109325379329555</v>
      </c>
      <c r="F15" s="82"/>
      <c r="H15" t="s">
        <v>35</v>
      </c>
      <c r="Q15" s="23" t="s">
        <v>85</v>
      </c>
    </row>
    <row r="16" spans="1:17" x14ac:dyDescent="0.25">
      <c r="A16" s="5" t="s">
        <v>15</v>
      </c>
      <c r="B16" s="3"/>
      <c r="C16" s="4" t="s">
        <v>11</v>
      </c>
      <c r="D16" s="62">
        <v>38.648995078587959</v>
      </c>
      <c r="E16" s="62">
        <v>48.311243848234952</v>
      </c>
      <c r="F16" s="82"/>
      <c r="Q16" s="23" t="s">
        <v>94</v>
      </c>
    </row>
    <row r="17" spans="1:17" x14ac:dyDescent="0.25">
      <c r="A17" s="3"/>
      <c r="B17" s="3"/>
      <c r="C17" s="4"/>
      <c r="D17" s="9"/>
      <c r="E17" s="9"/>
      <c r="Q17" s="23" t="s">
        <v>86</v>
      </c>
    </row>
    <row r="18" spans="1:17" x14ac:dyDescent="0.25">
      <c r="A18" s="3"/>
      <c r="B18" s="3"/>
      <c r="C18" s="7"/>
      <c r="D18" s="9"/>
      <c r="E18" s="9"/>
      <c r="K18" s="19">
        <v>2.5000000000000001E-2</v>
      </c>
      <c r="Q18" s="23" t="s">
        <v>90</v>
      </c>
    </row>
    <row r="19" spans="1:17" x14ac:dyDescent="0.25">
      <c r="A19" s="3" t="s">
        <v>17</v>
      </c>
      <c r="B19" s="3" t="s">
        <v>18</v>
      </c>
      <c r="C19" s="4" t="s">
        <v>7</v>
      </c>
      <c r="D19" s="64">
        <v>39.381519976383352</v>
      </c>
      <c r="E19" s="64">
        <v>49.226899970479188</v>
      </c>
      <c r="K19" s="21">
        <v>0</v>
      </c>
      <c r="Q19" s="23" t="s">
        <v>92</v>
      </c>
    </row>
    <row r="20" spans="1:17" x14ac:dyDescent="0.25">
      <c r="A20" s="3" t="s">
        <v>17</v>
      </c>
      <c r="B20" s="3"/>
      <c r="C20" s="4" t="s">
        <v>8</v>
      </c>
      <c r="D20" s="64">
        <v>40.66356634321577</v>
      </c>
      <c r="E20" s="64">
        <v>50.829457929019711</v>
      </c>
      <c r="H20" t="s">
        <v>39</v>
      </c>
      <c r="I20" s="12" t="s">
        <v>41</v>
      </c>
      <c r="Q20" s="23" t="s">
        <v>103</v>
      </c>
    </row>
    <row r="21" spans="1:17" x14ac:dyDescent="0.25">
      <c r="A21" s="3" t="s">
        <v>17</v>
      </c>
      <c r="B21" s="3"/>
      <c r="C21" s="4" t="s">
        <v>9</v>
      </c>
      <c r="D21" s="64">
        <v>41.9445903445244</v>
      </c>
      <c r="E21" s="64">
        <v>52.430737930655496</v>
      </c>
      <c r="H21" t="s">
        <v>49</v>
      </c>
      <c r="I21" s="12" t="s">
        <v>42</v>
      </c>
      <c r="Q21" s="27" t="s">
        <v>96</v>
      </c>
    </row>
    <row r="22" spans="1:17" x14ac:dyDescent="0.25">
      <c r="A22" s="3"/>
      <c r="B22" s="3"/>
      <c r="C22" s="4"/>
      <c r="D22" s="9"/>
      <c r="E22" s="9"/>
      <c r="H22" t="s">
        <v>51</v>
      </c>
      <c r="I22" s="12" t="s">
        <v>43</v>
      </c>
      <c r="Q22" s="23" t="s">
        <v>93</v>
      </c>
    </row>
    <row r="23" spans="1:17" x14ac:dyDescent="0.25">
      <c r="A23" s="3" t="s">
        <v>22</v>
      </c>
      <c r="B23" s="3" t="s">
        <v>23</v>
      </c>
      <c r="C23" s="4" t="s">
        <v>7</v>
      </c>
      <c r="D23" s="65">
        <v>43.179607897262485</v>
      </c>
      <c r="E23" s="65">
        <v>53.974509871578107</v>
      </c>
      <c r="H23" t="s">
        <v>53</v>
      </c>
      <c r="I23" s="12" t="s">
        <v>44</v>
      </c>
      <c r="K23" s="21">
        <v>0.17</v>
      </c>
      <c r="Q23" s="23" t="s">
        <v>97</v>
      </c>
    </row>
    <row r="24" spans="1:17" x14ac:dyDescent="0.25">
      <c r="A24" s="3" t="s">
        <v>22</v>
      </c>
      <c r="B24" s="3"/>
      <c r="C24" s="4" t="s">
        <v>8</v>
      </c>
      <c r="D24" s="65">
        <v>44.779609941993535</v>
      </c>
      <c r="E24" s="65">
        <v>55.974512427491916</v>
      </c>
      <c r="H24" t="s">
        <v>55</v>
      </c>
      <c r="I24" s="12" t="s">
        <v>45</v>
      </c>
      <c r="K24" s="19">
        <v>0.105</v>
      </c>
      <c r="Q24" s="29" t="s">
        <v>48</v>
      </c>
    </row>
    <row r="25" spans="1:17" x14ac:dyDescent="0.25">
      <c r="A25" s="3" t="s">
        <v>22</v>
      </c>
      <c r="B25" s="3"/>
      <c r="C25" s="4" t="s">
        <v>9</v>
      </c>
      <c r="D25" s="65">
        <v>46.380123169486474</v>
      </c>
      <c r="E25" s="65">
        <v>57.975153961858091</v>
      </c>
      <c r="H25" t="s">
        <v>110</v>
      </c>
      <c r="I25" s="12" t="s">
        <v>46</v>
      </c>
    </row>
    <row r="26" spans="1:17" x14ac:dyDescent="0.25">
      <c r="A26" s="3" t="s">
        <v>22</v>
      </c>
      <c r="B26" s="3"/>
      <c r="C26" s="4" t="s">
        <v>10</v>
      </c>
      <c r="D26" s="65">
        <v>47.982169945265106</v>
      </c>
      <c r="E26" s="65">
        <v>59.977712431581381</v>
      </c>
      <c r="I26" s="12" t="s">
        <v>47</v>
      </c>
    </row>
    <row r="27" spans="1:17" x14ac:dyDescent="0.25">
      <c r="A27" s="3"/>
      <c r="B27" s="3"/>
      <c r="C27" s="11"/>
      <c r="D27" s="9"/>
      <c r="E27" s="9"/>
      <c r="I27" s="12" t="s">
        <v>48</v>
      </c>
    </row>
    <row r="28" spans="1:17" x14ac:dyDescent="0.25">
      <c r="A28" s="3"/>
      <c r="B28" s="3"/>
      <c r="C28" s="4"/>
      <c r="D28" s="9"/>
      <c r="E28" s="9"/>
      <c r="I28" s="12" t="s">
        <v>57</v>
      </c>
    </row>
    <row r="29" spans="1:17" x14ac:dyDescent="0.25">
      <c r="A29" s="3"/>
      <c r="B29" s="3" t="s">
        <v>21</v>
      </c>
      <c r="C29" s="4"/>
      <c r="D29" s="9"/>
      <c r="E29" s="9"/>
    </row>
    <row r="30" spans="1:17" x14ac:dyDescent="0.25">
      <c r="A30" s="3" t="s">
        <v>24</v>
      </c>
      <c r="B30" s="3" t="s">
        <v>25</v>
      </c>
      <c r="C30" s="4" t="s">
        <v>7</v>
      </c>
      <c r="D30" s="66">
        <v>48.720829036203234</v>
      </c>
      <c r="E30" s="66">
        <v>60.901036295254045</v>
      </c>
    </row>
    <row r="31" spans="1:17" x14ac:dyDescent="0.25">
      <c r="A31" s="3" t="s">
        <v>24</v>
      </c>
      <c r="B31" s="3"/>
      <c r="C31" s="4" t="s">
        <v>8</v>
      </c>
      <c r="D31" s="66">
        <v>49.999808306464288</v>
      </c>
      <c r="E31" s="66">
        <v>62.499760383080357</v>
      </c>
    </row>
    <row r="32" spans="1:17" x14ac:dyDescent="0.25">
      <c r="A32" s="3" t="s">
        <v>24</v>
      </c>
      <c r="B32" s="3"/>
      <c r="C32" s="4" t="s">
        <v>9</v>
      </c>
      <c r="D32" s="66">
        <v>51.282877038820494</v>
      </c>
      <c r="E32" s="66">
        <v>64.103596298525616</v>
      </c>
    </row>
    <row r="33" spans="1:5" x14ac:dyDescent="0.25">
      <c r="A33" s="3" t="s">
        <v>24</v>
      </c>
      <c r="B33" s="3"/>
      <c r="C33" s="4" t="s">
        <v>10</v>
      </c>
      <c r="D33" s="66">
        <v>52.564923405652912</v>
      </c>
      <c r="E33" s="66">
        <v>65.706154257066146</v>
      </c>
    </row>
    <row r="34" spans="1:5" x14ac:dyDescent="0.25">
      <c r="A34" s="3"/>
      <c r="B34" s="3"/>
      <c r="C34" s="7"/>
      <c r="D34" s="9"/>
      <c r="E34" s="9"/>
    </row>
    <row r="35" spans="1:5" x14ac:dyDescent="0.25">
      <c r="A35" s="3"/>
      <c r="B35" s="3"/>
      <c r="C35" s="7"/>
      <c r="D35" s="9"/>
      <c r="E35" s="9"/>
    </row>
    <row r="36" spans="1:5" x14ac:dyDescent="0.25">
      <c r="A36" s="3" t="s">
        <v>26</v>
      </c>
      <c r="B36" s="3" t="s">
        <v>27</v>
      </c>
      <c r="C36" s="4" t="s">
        <v>7</v>
      </c>
      <c r="D36" s="67">
        <v>53.178342719926796</v>
      </c>
      <c r="E36" s="67">
        <v>66.472928399908497</v>
      </c>
    </row>
    <row r="37" spans="1:5" x14ac:dyDescent="0.25">
      <c r="A37" s="3" t="s">
        <v>26</v>
      </c>
      <c r="B37" s="3"/>
      <c r="C37" s="4" t="s">
        <v>8</v>
      </c>
      <c r="D37" s="67">
        <v>54.781923043991107</v>
      </c>
      <c r="E37" s="67">
        <v>68.477403804988882</v>
      </c>
    </row>
    <row r="38" spans="1:5" x14ac:dyDescent="0.25">
      <c r="A38" s="3" t="s">
        <v>26</v>
      </c>
      <c r="B38" s="3"/>
      <c r="C38" s="4" t="s">
        <v>9</v>
      </c>
      <c r="D38" s="67">
        <v>56.381413905960265</v>
      </c>
      <c r="E38" s="67">
        <v>70.476767382450333</v>
      </c>
    </row>
    <row r="39" spans="1:5" x14ac:dyDescent="0.25">
      <c r="A39" s="3" t="s">
        <v>26</v>
      </c>
      <c r="B39" s="3"/>
      <c r="C39" s="4" t="s">
        <v>10</v>
      </c>
      <c r="D39" s="67">
        <v>57.982949498976993</v>
      </c>
      <c r="E39" s="67">
        <v>72.478686873721244</v>
      </c>
    </row>
    <row r="40" spans="1:5" x14ac:dyDescent="0.25">
      <c r="A40" s="3" t="s">
        <v>26</v>
      </c>
      <c r="B40" s="3"/>
      <c r="C40" s="4" t="s">
        <v>11</v>
      </c>
      <c r="D40" s="67">
        <v>59.584996274755625</v>
      </c>
      <c r="E40" s="67">
        <v>74.481245343444527</v>
      </c>
    </row>
    <row r="41" spans="1:5" x14ac:dyDescent="0.25">
      <c r="A41" s="3"/>
      <c r="B41" s="3"/>
      <c r="C41" s="4"/>
      <c r="D41" s="9"/>
      <c r="E41" s="9"/>
    </row>
    <row r="42" spans="1:5" x14ac:dyDescent="0.25">
      <c r="A42" s="3"/>
      <c r="B42" s="3"/>
      <c r="C42" s="4"/>
      <c r="D42" s="9"/>
      <c r="E42" s="9"/>
    </row>
    <row r="43" spans="1:5" x14ac:dyDescent="0.25">
      <c r="A43" s="5" t="s">
        <v>28</v>
      </c>
      <c r="B43" s="5" t="s">
        <v>29</v>
      </c>
      <c r="C43" s="6" t="s">
        <v>7</v>
      </c>
      <c r="D43" s="69">
        <v>60.866020276064255</v>
      </c>
      <c r="E43" s="69">
        <v>76.082525345080313</v>
      </c>
    </row>
    <row r="44" spans="1:5" x14ac:dyDescent="0.25">
      <c r="A44" s="5" t="s">
        <v>28</v>
      </c>
      <c r="B44" s="3"/>
      <c r="C44" s="4" t="s">
        <v>8</v>
      </c>
      <c r="D44" s="68">
        <v>63.108579052497191</v>
      </c>
      <c r="E44" s="68">
        <v>78.885723815621489</v>
      </c>
    </row>
    <row r="45" spans="1:5" x14ac:dyDescent="0.25">
      <c r="A45" s="5" t="s">
        <v>28</v>
      </c>
      <c r="B45" s="3"/>
      <c r="C45" s="4" t="s">
        <v>9</v>
      </c>
      <c r="D45" s="68">
        <v>65.99216101234633</v>
      </c>
      <c r="E45" s="68">
        <v>82.490201265432916</v>
      </c>
    </row>
    <row r="46" spans="1:5" x14ac:dyDescent="0.25">
      <c r="A46" s="5" t="s">
        <v>28</v>
      </c>
      <c r="B46" s="3"/>
      <c r="C46" s="4" t="s">
        <v>10</v>
      </c>
      <c r="D46" s="68">
        <v>68.553697832201706</v>
      </c>
      <c r="E46" s="68">
        <v>85.692122290252129</v>
      </c>
    </row>
    <row r="47" spans="1:5" x14ac:dyDescent="0.25">
      <c r="A47" s="3"/>
      <c r="B47" s="3"/>
      <c r="C47" s="4"/>
      <c r="D47" s="9"/>
      <c r="E47" s="9"/>
    </row>
    <row r="48" spans="1:5" x14ac:dyDescent="0.25">
      <c r="A48" s="3"/>
      <c r="B48" s="3"/>
      <c r="C48" s="7"/>
      <c r="D48" s="9"/>
      <c r="E48" s="9"/>
    </row>
    <row r="49" spans="1:5" x14ac:dyDescent="0.25">
      <c r="A49" s="3" t="s">
        <v>30</v>
      </c>
      <c r="B49" s="3" t="s">
        <v>31</v>
      </c>
      <c r="C49" s="4" t="s">
        <v>7</v>
      </c>
      <c r="D49" s="70">
        <v>70.010568703602175</v>
      </c>
      <c r="E49" s="70">
        <v>87.513210879502722</v>
      </c>
    </row>
    <row r="50" spans="1:5" x14ac:dyDescent="0.25">
      <c r="A50" s="3" t="s">
        <v>30</v>
      </c>
      <c r="B50" s="3"/>
      <c r="C50" s="4" t="s">
        <v>8</v>
      </c>
      <c r="D50" s="70">
        <v>71.613126662142705</v>
      </c>
      <c r="E50" s="70">
        <v>89.516408327678377</v>
      </c>
    </row>
    <row r="51" spans="1:5" x14ac:dyDescent="0.25">
      <c r="A51" s="3" t="s">
        <v>30</v>
      </c>
      <c r="B51" s="3"/>
      <c r="C51" s="4" t="s">
        <v>9</v>
      </c>
      <c r="D51" s="70">
        <v>73.21568462068322</v>
      </c>
      <c r="E51" s="70">
        <v>91.519605775854018</v>
      </c>
    </row>
    <row r="52" spans="1:5" x14ac:dyDescent="0.25">
      <c r="A52" s="3"/>
      <c r="B52" s="3"/>
      <c r="C52" s="4"/>
      <c r="D52" s="9"/>
      <c r="E52" s="9"/>
    </row>
    <row r="53" spans="1:5" x14ac:dyDescent="0.25">
      <c r="A53" s="3" t="s">
        <v>32</v>
      </c>
      <c r="B53" s="3" t="s">
        <v>33</v>
      </c>
      <c r="C53" s="4" t="s">
        <v>7</v>
      </c>
      <c r="D53" s="71">
        <v>81.2816374206229</v>
      </c>
      <c r="E53" s="71">
        <v>101.60204677577863</v>
      </c>
    </row>
    <row r="54" spans="1:5" x14ac:dyDescent="0.25">
      <c r="A54" s="1" t="s">
        <v>3</v>
      </c>
      <c r="B54" s="1" t="s">
        <v>4</v>
      </c>
      <c r="C54" s="2" t="s">
        <v>1</v>
      </c>
      <c r="D54" s="8" t="s">
        <v>19</v>
      </c>
    </row>
    <row r="55" spans="1:5" x14ac:dyDescent="0.25">
      <c r="A55" s="3" t="s">
        <v>39</v>
      </c>
      <c r="B55" s="3" t="s">
        <v>40</v>
      </c>
      <c r="C55" s="4" t="s">
        <v>41</v>
      </c>
      <c r="D55" s="72">
        <v>42.82229114669795</v>
      </c>
    </row>
    <row r="56" spans="1:5" x14ac:dyDescent="0.25">
      <c r="A56" s="3" t="s">
        <v>39</v>
      </c>
      <c r="B56" s="3"/>
      <c r="C56" s="4" t="s">
        <v>42</v>
      </c>
      <c r="D56" s="72">
        <v>45.154306906462494</v>
      </c>
    </row>
    <row r="57" spans="1:5" x14ac:dyDescent="0.25">
      <c r="A57" s="3" t="s">
        <v>39</v>
      </c>
      <c r="B57" s="3"/>
      <c r="C57" s="4" t="s">
        <v>43</v>
      </c>
      <c r="D57" s="72">
        <v>47.487856214512732</v>
      </c>
    </row>
    <row r="58" spans="1:5" x14ac:dyDescent="0.25">
      <c r="A58" s="3" t="s">
        <v>39</v>
      </c>
      <c r="B58" s="3"/>
      <c r="C58" s="4" t="s">
        <v>44</v>
      </c>
      <c r="D58" s="72">
        <v>49.821405522562962</v>
      </c>
    </row>
    <row r="59" spans="1:5" x14ac:dyDescent="0.25">
      <c r="A59" s="3" t="s">
        <v>39</v>
      </c>
      <c r="B59" s="3"/>
      <c r="C59" s="4" t="s">
        <v>45</v>
      </c>
      <c r="D59" s="72">
        <v>51.717382386431161</v>
      </c>
    </row>
    <row r="60" spans="1:5" x14ac:dyDescent="0.25">
      <c r="A60" s="3" t="s">
        <v>39</v>
      </c>
      <c r="B60" s="3"/>
      <c r="C60" s="4" t="s">
        <v>46</v>
      </c>
      <c r="D60" s="72">
        <v>53.612336884775573</v>
      </c>
    </row>
    <row r="61" spans="1:5" x14ac:dyDescent="0.25">
      <c r="A61" s="3" t="s">
        <v>39</v>
      </c>
      <c r="B61" s="3"/>
      <c r="C61" s="4" t="s">
        <v>47</v>
      </c>
      <c r="D61" s="72">
        <v>55.508313748643765</v>
      </c>
    </row>
    <row r="62" spans="1:5" x14ac:dyDescent="0.25">
      <c r="A62" s="3" t="s">
        <v>39</v>
      </c>
      <c r="B62" s="3"/>
      <c r="C62" s="4" t="s">
        <v>48</v>
      </c>
      <c r="D62" s="72">
        <v>57.403268246988169</v>
      </c>
    </row>
    <row r="63" spans="1:5" x14ac:dyDescent="0.25">
      <c r="A63" s="3"/>
      <c r="B63" s="3"/>
      <c r="C63" s="4"/>
      <c r="D63" s="9"/>
    </row>
    <row r="64" spans="1:5" x14ac:dyDescent="0.25">
      <c r="A64" s="3" t="s">
        <v>49</v>
      </c>
      <c r="B64" s="3" t="s">
        <v>50</v>
      </c>
      <c r="C64" s="4" t="s">
        <v>41</v>
      </c>
      <c r="D64" s="73">
        <v>60.271003541218583</v>
      </c>
    </row>
    <row r="65" spans="1:4" x14ac:dyDescent="0.25">
      <c r="A65" s="3" t="s">
        <v>49</v>
      </c>
      <c r="B65" s="3"/>
      <c r="C65" s="4" t="s">
        <v>42</v>
      </c>
      <c r="D65" s="73">
        <v>62.460399310414459</v>
      </c>
    </row>
    <row r="66" spans="1:4" x14ac:dyDescent="0.25">
      <c r="A66" s="3" t="s">
        <v>49</v>
      </c>
      <c r="B66" s="3"/>
      <c r="C66" s="4" t="s">
        <v>43</v>
      </c>
      <c r="D66" s="73">
        <v>64.644683251991367</v>
      </c>
    </row>
    <row r="67" spans="1:4" x14ac:dyDescent="0.25">
      <c r="A67" s="3" t="s">
        <v>49</v>
      </c>
      <c r="B67" s="3"/>
      <c r="C67" s="4" t="s">
        <v>44</v>
      </c>
      <c r="D67" s="73">
        <v>66.834590203949148</v>
      </c>
    </row>
    <row r="68" spans="1:4" x14ac:dyDescent="0.25">
      <c r="A68" s="3" t="s">
        <v>49</v>
      </c>
      <c r="B68" s="3"/>
      <c r="C68" s="4" t="s">
        <v>45</v>
      </c>
      <c r="D68" s="73">
        <v>69.020918876573646</v>
      </c>
    </row>
    <row r="69" spans="1:4" x14ac:dyDescent="0.25">
      <c r="A69" s="3" t="s">
        <v>49</v>
      </c>
      <c r="B69" s="3"/>
      <c r="C69" s="4" t="s">
        <v>46</v>
      </c>
      <c r="D69" s="73">
        <v>71.211337011293296</v>
      </c>
    </row>
    <row r="70" spans="1:4" x14ac:dyDescent="0.25">
      <c r="A70" s="3"/>
      <c r="B70" s="3"/>
      <c r="C70" s="4"/>
      <c r="D70" s="9"/>
    </row>
    <row r="71" spans="1:4" x14ac:dyDescent="0.25">
      <c r="A71" s="3" t="s">
        <v>51</v>
      </c>
      <c r="B71" s="3" t="s">
        <v>52</v>
      </c>
      <c r="C71" s="4" t="s">
        <v>41</v>
      </c>
      <c r="D71" s="74">
        <v>73.396643318394013</v>
      </c>
    </row>
    <row r="72" spans="1:4" x14ac:dyDescent="0.25">
      <c r="A72" s="3" t="s">
        <v>51</v>
      </c>
      <c r="B72" s="3"/>
      <c r="C72" s="4" t="s">
        <v>42</v>
      </c>
      <c r="D72" s="74">
        <v>75.585016722066086</v>
      </c>
    </row>
    <row r="73" spans="1:4" x14ac:dyDescent="0.25">
      <c r="A73" s="3" t="s">
        <v>51</v>
      </c>
      <c r="B73" s="3"/>
      <c r="C73" s="4" t="s">
        <v>43</v>
      </c>
      <c r="D73" s="74">
        <v>77.771345394690584</v>
      </c>
    </row>
    <row r="74" spans="1:4" x14ac:dyDescent="0.25">
      <c r="A74" s="3" t="s">
        <v>51</v>
      </c>
      <c r="B74" s="3"/>
      <c r="C74" s="4" t="s">
        <v>44</v>
      </c>
      <c r="D74" s="74">
        <v>79.96022998112457</v>
      </c>
    </row>
    <row r="75" spans="1:4" x14ac:dyDescent="0.25">
      <c r="A75" s="3" t="s">
        <v>51</v>
      </c>
      <c r="B75" s="3"/>
      <c r="C75" s="4" t="s">
        <v>45</v>
      </c>
      <c r="D75" s="74">
        <v>82.145536288225273</v>
      </c>
    </row>
    <row r="76" spans="1:4" x14ac:dyDescent="0.25">
      <c r="A76" s="3" t="s">
        <v>51</v>
      </c>
      <c r="B76" s="3"/>
      <c r="C76" s="4" t="s">
        <v>46</v>
      </c>
      <c r="D76" s="74">
        <v>84.335954422944951</v>
      </c>
    </row>
    <row r="77" spans="1:4" x14ac:dyDescent="0.25">
      <c r="A77" s="3"/>
      <c r="B77" s="3"/>
      <c r="C77" s="4"/>
      <c r="D77" s="9"/>
    </row>
    <row r="78" spans="1:4" x14ac:dyDescent="0.25">
      <c r="A78" s="3" t="s">
        <v>53</v>
      </c>
      <c r="B78" s="3" t="s">
        <v>54</v>
      </c>
      <c r="C78" s="4" t="s">
        <v>41</v>
      </c>
      <c r="D78" s="75">
        <v>87.982732246303186</v>
      </c>
    </row>
    <row r="79" spans="1:4" x14ac:dyDescent="0.25">
      <c r="A79" s="3" t="s">
        <v>53</v>
      </c>
      <c r="B79" s="3"/>
      <c r="C79" s="4" t="s">
        <v>42</v>
      </c>
      <c r="D79" s="75">
        <v>90.899029902913611</v>
      </c>
    </row>
    <row r="80" spans="1:4" x14ac:dyDescent="0.25">
      <c r="A80" s="3" t="s">
        <v>53</v>
      </c>
      <c r="B80" s="3"/>
      <c r="C80" s="4" t="s">
        <v>43</v>
      </c>
      <c r="D80" s="75">
        <v>93.814816376762138</v>
      </c>
    </row>
    <row r="81" spans="1:5" x14ac:dyDescent="0.25">
      <c r="A81" s="3" t="s">
        <v>53</v>
      </c>
      <c r="B81" s="3"/>
      <c r="C81" s="4" t="s">
        <v>44</v>
      </c>
      <c r="D81" s="75">
        <v>96.731625216134447</v>
      </c>
    </row>
    <row r="82" spans="1:5" x14ac:dyDescent="0.25">
      <c r="A82" s="3"/>
      <c r="B82" s="3"/>
      <c r="C82" s="4"/>
      <c r="D82" s="9"/>
    </row>
    <row r="83" spans="1:5" x14ac:dyDescent="0.25">
      <c r="A83" s="3" t="s">
        <v>55</v>
      </c>
      <c r="B83" s="3" t="s">
        <v>56</v>
      </c>
      <c r="C83" s="4" t="s">
        <v>41</v>
      </c>
      <c r="D83" s="76">
        <v>112.77765211201547</v>
      </c>
    </row>
    <row r="84" spans="1:5" x14ac:dyDescent="0.25">
      <c r="A84" s="1" t="s">
        <v>80</v>
      </c>
      <c r="B84" s="1" t="s">
        <v>79</v>
      </c>
      <c r="C84" s="38"/>
      <c r="E84" s="30" t="s">
        <v>109</v>
      </c>
    </row>
    <row r="85" spans="1:5" x14ac:dyDescent="0.25">
      <c r="A85" s="33" t="s">
        <v>110</v>
      </c>
      <c r="B85" s="3" t="s">
        <v>81</v>
      </c>
      <c r="C85" s="23" t="s">
        <v>82</v>
      </c>
      <c r="E85" s="77">
        <v>390.38</v>
      </c>
    </row>
    <row r="86" spans="1:5" x14ac:dyDescent="0.25">
      <c r="A86" s="33" t="s">
        <v>110</v>
      </c>
      <c r="B86" s="24"/>
      <c r="C86" s="23" t="s">
        <v>83</v>
      </c>
      <c r="E86" s="77">
        <v>234.23</v>
      </c>
    </row>
    <row r="87" spans="1:5" x14ac:dyDescent="0.25">
      <c r="A87" s="33" t="s">
        <v>110</v>
      </c>
      <c r="B87" s="24"/>
      <c r="C87" s="23" t="s">
        <v>84</v>
      </c>
      <c r="E87" s="77">
        <v>156.15</v>
      </c>
    </row>
    <row r="88" spans="1:5" x14ac:dyDescent="0.25">
      <c r="A88" s="33" t="s">
        <v>110</v>
      </c>
      <c r="B88" s="24"/>
      <c r="C88" s="23" t="s">
        <v>85</v>
      </c>
      <c r="E88" s="77">
        <v>312.3</v>
      </c>
    </row>
    <row r="89" spans="1:5" x14ac:dyDescent="0.25">
      <c r="A89" s="33" t="s">
        <v>110</v>
      </c>
      <c r="B89" s="24"/>
      <c r="C89" s="23" t="s">
        <v>86</v>
      </c>
      <c r="E89" s="77">
        <v>234.23</v>
      </c>
    </row>
    <row r="90" spans="1:5" x14ac:dyDescent="0.25">
      <c r="A90" s="33" t="s">
        <v>110</v>
      </c>
      <c r="B90" s="24"/>
      <c r="C90" s="25"/>
      <c r="E90" s="31"/>
    </row>
    <row r="91" spans="1:5" x14ac:dyDescent="0.25">
      <c r="A91" s="33" t="s">
        <v>110</v>
      </c>
      <c r="B91" s="3" t="s">
        <v>87</v>
      </c>
      <c r="C91" s="23" t="s">
        <v>88</v>
      </c>
      <c r="E91" s="78">
        <v>169.33</v>
      </c>
    </row>
    <row r="92" spans="1:5" x14ac:dyDescent="0.25">
      <c r="A92" s="33" t="s">
        <v>110</v>
      </c>
      <c r="B92" s="24"/>
      <c r="C92" s="23" t="s">
        <v>89</v>
      </c>
      <c r="E92" s="78">
        <v>112.89</v>
      </c>
    </row>
    <row r="93" spans="1:5" x14ac:dyDescent="0.25">
      <c r="A93" s="33" t="s">
        <v>110</v>
      </c>
      <c r="B93" s="24"/>
      <c r="C93" s="23" t="s">
        <v>90</v>
      </c>
      <c r="E93" s="78">
        <v>78.08</v>
      </c>
    </row>
    <row r="94" spans="1:5" x14ac:dyDescent="0.25">
      <c r="A94" s="33" t="s">
        <v>110</v>
      </c>
      <c r="B94" s="24"/>
      <c r="C94" s="23"/>
      <c r="E94" s="31"/>
    </row>
    <row r="95" spans="1:5" x14ac:dyDescent="0.25">
      <c r="A95" s="33" t="s">
        <v>110</v>
      </c>
      <c r="B95" s="3" t="s">
        <v>91</v>
      </c>
      <c r="C95" s="23" t="s">
        <v>92</v>
      </c>
      <c r="E95" s="79">
        <v>56.44</v>
      </c>
    </row>
    <row r="96" spans="1:5" x14ac:dyDescent="0.25">
      <c r="A96" s="33" t="s">
        <v>110</v>
      </c>
      <c r="B96" s="24"/>
      <c r="C96" s="23" t="s">
        <v>93</v>
      </c>
      <c r="E96" s="79">
        <v>67.02</v>
      </c>
    </row>
    <row r="97" spans="1:5" x14ac:dyDescent="0.25">
      <c r="A97" s="33" t="s">
        <v>110</v>
      </c>
      <c r="B97" s="24"/>
      <c r="C97" s="23" t="s">
        <v>94</v>
      </c>
      <c r="E97" s="79">
        <v>78.08</v>
      </c>
    </row>
    <row r="98" spans="1:5" x14ac:dyDescent="0.25">
      <c r="A98" s="33" t="s">
        <v>110</v>
      </c>
      <c r="B98" s="24"/>
      <c r="C98" s="23"/>
      <c r="E98" s="31"/>
    </row>
    <row r="99" spans="1:5" ht="34.5" x14ac:dyDescent="0.25">
      <c r="A99" s="33" t="s">
        <v>110</v>
      </c>
      <c r="B99" s="26" t="s">
        <v>95</v>
      </c>
      <c r="C99" s="27" t="s">
        <v>96</v>
      </c>
      <c r="E99" s="80">
        <v>56.44</v>
      </c>
    </row>
    <row r="100" spans="1:5" x14ac:dyDescent="0.25">
      <c r="A100" s="33" t="s">
        <v>110</v>
      </c>
      <c r="B100" s="24"/>
      <c r="C100" s="23" t="s">
        <v>98</v>
      </c>
      <c r="E100" s="80">
        <v>67.02</v>
      </c>
    </row>
    <row r="101" spans="1:5" x14ac:dyDescent="0.25">
      <c r="A101" s="33" t="s">
        <v>110</v>
      </c>
      <c r="B101" s="24"/>
      <c r="C101" s="23" t="s">
        <v>97</v>
      </c>
      <c r="E101" s="80">
        <v>78.08</v>
      </c>
    </row>
    <row r="102" spans="1:5" x14ac:dyDescent="0.25">
      <c r="A102" s="33" t="s">
        <v>110</v>
      </c>
      <c r="B102" s="24"/>
      <c r="C102" s="28"/>
      <c r="E102" s="80"/>
    </row>
    <row r="103" spans="1:5" x14ac:dyDescent="0.25">
      <c r="A103" s="33" t="s">
        <v>110</v>
      </c>
      <c r="B103" s="24"/>
      <c r="C103" s="27"/>
      <c r="E103" s="31"/>
    </row>
    <row r="104" spans="1:5" x14ac:dyDescent="0.25">
      <c r="A104" s="33" t="s">
        <v>110</v>
      </c>
      <c r="B104" s="10" t="s">
        <v>101</v>
      </c>
      <c r="C104" s="29" t="s">
        <v>48</v>
      </c>
      <c r="E104" s="80">
        <v>53.53</v>
      </c>
    </row>
    <row r="105" spans="1:5" x14ac:dyDescent="0.25">
      <c r="A105" s="33" t="s">
        <v>110</v>
      </c>
      <c r="B105" s="24"/>
      <c r="C105" s="27"/>
      <c r="E105" s="32"/>
    </row>
    <row r="106" spans="1:5" x14ac:dyDescent="0.25">
      <c r="A106" s="33" t="s">
        <v>110</v>
      </c>
      <c r="B106" s="3" t="s">
        <v>102</v>
      </c>
      <c r="C106" s="23" t="s">
        <v>103</v>
      </c>
      <c r="E106" s="81">
        <v>112.89</v>
      </c>
    </row>
    <row r="107" spans="1:5" x14ac:dyDescent="0.25">
      <c r="A107" s="33" t="s">
        <v>110</v>
      </c>
      <c r="B107" s="24"/>
      <c r="C107" s="23" t="s">
        <v>104</v>
      </c>
      <c r="E107" s="81">
        <v>112.89</v>
      </c>
    </row>
    <row r="108" spans="1:5" x14ac:dyDescent="0.25">
      <c r="A108" s="33" t="s">
        <v>110</v>
      </c>
      <c r="B108" s="24"/>
      <c r="C108" s="23" t="s">
        <v>105</v>
      </c>
      <c r="E108" s="81">
        <v>169.33</v>
      </c>
    </row>
    <row r="109" spans="1:5" x14ac:dyDescent="0.25">
      <c r="A109" s="33" t="s">
        <v>110</v>
      </c>
      <c r="B109" s="24"/>
      <c r="C109" s="23" t="s">
        <v>106</v>
      </c>
      <c r="E109" s="81">
        <v>112.89</v>
      </c>
    </row>
    <row r="110" spans="1:5" x14ac:dyDescent="0.25">
      <c r="A110" s="33" t="s">
        <v>110</v>
      </c>
      <c r="B110" s="24"/>
      <c r="C110" s="23" t="s">
        <v>107</v>
      </c>
      <c r="E110" s="81">
        <v>78.08</v>
      </c>
    </row>
    <row r="111" spans="1:5" x14ac:dyDescent="0.25">
      <c r="A111" s="33" t="s">
        <v>110</v>
      </c>
      <c r="B111" s="24"/>
      <c r="C111" s="23" t="s">
        <v>108</v>
      </c>
      <c r="E111" s="81">
        <v>56.44</v>
      </c>
    </row>
  </sheetData>
  <pageMargins left="0.7" right="0.7" top="0.75" bottom="0.75" header="0.3" footer="0.3"/>
  <headerFooter>
    <oddFooter>&amp;C_x000D_&amp;1#&amp;"Calibri"&amp;12&amp;K000000 ECU Internal Information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DA91D-E298-470B-9D58-D71CEB3BA111}">
  <dimension ref="A1:G15"/>
  <sheetViews>
    <sheetView workbookViewId="0">
      <selection activeCell="F26" sqref="F26"/>
    </sheetView>
  </sheetViews>
  <sheetFormatPr defaultRowHeight="15" x14ac:dyDescent="0.25"/>
  <cols>
    <col min="1" max="1" width="30.28515625" bestFit="1" customWidth="1"/>
    <col min="2" max="2" width="13.140625" customWidth="1"/>
    <col min="3" max="3" width="25.140625" bestFit="1" customWidth="1"/>
    <col min="6" max="6" width="60.42578125" style="99" bestFit="1" customWidth="1"/>
    <col min="7" max="7" width="11.140625" customWidth="1"/>
  </cols>
  <sheetData>
    <row r="1" spans="1:7" x14ac:dyDescent="0.25">
      <c r="A1" s="34"/>
      <c r="B1" s="51" t="s">
        <v>77</v>
      </c>
      <c r="C1" s="124" t="s">
        <v>78</v>
      </c>
      <c r="D1" s="124"/>
      <c r="E1" s="34"/>
      <c r="F1" s="145" t="s">
        <v>132</v>
      </c>
      <c r="G1" s="146"/>
    </row>
    <row r="2" spans="1:7" x14ac:dyDescent="0.25">
      <c r="A2" s="34" t="s">
        <v>65</v>
      </c>
      <c r="B2" s="102">
        <v>0.17</v>
      </c>
      <c r="C2" s="91" t="s">
        <v>66</v>
      </c>
      <c r="D2" s="34"/>
      <c r="E2" s="34"/>
      <c r="F2" s="100" t="s">
        <v>133</v>
      </c>
    </row>
    <row r="3" spans="1:7" x14ac:dyDescent="0.25">
      <c r="A3" s="34" t="s">
        <v>67</v>
      </c>
      <c r="B3" s="102">
        <v>5.5E-2</v>
      </c>
      <c r="C3" s="91" t="s">
        <v>68</v>
      </c>
      <c r="D3" s="34"/>
      <c r="E3" s="34"/>
      <c r="F3" s="100" t="s">
        <v>136</v>
      </c>
    </row>
    <row r="4" spans="1:7" x14ac:dyDescent="0.25">
      <c r="A4" s="34" t="s">
        <v>69</v>
      </c>
      <c r="B4" s="102">
        <v>8.2000000000000007E-3</v>
      </c>
      <c r="C4" s="91" t="s">
        <v>68</v>
      </c>
      <c r="D4" s="34"/>
      <c r="E4" s="34"/>
      <c r="F4" s="100" t="s">
        <v>134</v>
      </c>
    </row>
    <row r="5" spans="1:7" x14ac:dyDescent="0.25">
      <c r="A5" s="34" t="s">
        <v>70</v>
      </c>
      <c r="B5" s="102">
        <v>0.05</v>
      </c>
      <c r="C5" s="91" t="s">
        <v>71</v>
      </c>
      <c r="D5" s="34"/>
      <c r="E5" s="34"/>
      <c r="F5" s="100" t="s">
        <v>135</v>
      </c>
    </row>
    <row r="6" spans="1:7" x14ac:dyDescent="0.25">
      <c r="A6" s="34" t="s">
        <v>118</v>
      </c>
      <c r="B6" s="52">
        <v>9.6000000000000002E-2</v>
      </c>
      <c r="C6" s="91" t="s">
        <v>71</v>
      </c>
      <c r="D6" s="34"/>
      <c r="E6" s="34"/>
      <c r="F6" s="100" t="s">
        <v>135</v>
      </c>
    </row>
    <row r="7" spans="1:7" x14ac:dyDescent="0.25">
      <c r="A7" s="47" t="s">
        <v>72</v>
      </c>
      <c r="B7" s="103">
        <v>1.34185E-2</v>
      </c>
      <c r="C7" s="91" t="s">
        <v>71</v>
      </c>
      <c r="D7" s="89" t="s">
        <v>73</v>
      </c>
      <c r="E7" s="90">
        <v>1721.6</v>
      </c>
      <c r="F7" s="100" t="s">
        <v>137</v>
      </c>
      <c r="G7" s="101">
        <f>(4/52)*17.5%</f>
        <v>1.3461538461538462E-2</v>
      </c>
    </row>
    <row r="8" spans="1:7" x14ac:dyDescent="0.25">
      <c r="A8" s="47" t="s">
        <v>111</v>
      </c>
      <c r="B8" s="102">
        <v>8.0000000000000002E-3</v>
      </c>
      <c r="C8" s="91" t="s">
        <v>71</v>
      </c>
      <c r="D8" s="54"/>
      <c r="E8" s="55"/>
      <c r="F8" s="100" t="s">
        <v>134</v>
      </c>
    </row>
    <row r="9" spans="1:7" x14ac:dyDescent="0.25">
      <c r="A9" s="47" t="s">
        <v>76</v>
      </c>
      <c r="B9" s="52">
        <v>2.5000000000000001E-2</v>
      </c>
      <c r="C9" s="91" t="s">
        <v>66</v>
      </c>
      <c r="D9" s="54"/>
      <c r="E9" s="55"/>
      <c r="F9" s="100" t="s">
        <v>138</v>
      </c>
    </row>
    <row r="10" spans="1:7" x14ac:dyDescent="0.25">
      <c r="F10" s="104" t="s">
        <v>139</v>
      </c>
    </row>
    <row r="11" spans="1:7" x14ac:dyDescent="0.25">
      <c r="F11" s="104" t="s">
        <v>140</v>
      </c>
    </row>
    <row r="12" spans="1:7" x14ac:dyDescent="0.25">
      <c r="F12" s="104" t="s">
        <v>141</v>
      </c>
      <c r="G12" s="101">
        <f>1/52</f>
        <v>1.9230769230769232E-2</v>
      </c>
    </row>
    <row r="13" spans="1:7" x14ac:dyDescent="0.25">
      <c r="F13" s="104" t="s">
        <v>142</v>
      </c>
      <c r="G13" s="101">
        <f>G12*(1+B2+B3+B4+B5+B7+B8)</f>
        <v>2.5088817307692309E-2</v>
      </c>
    </row>
    <row r="14" spans="1:7" x14ac:dyDescent="0.25">
      <c r="F14" s="104" t="s">
        <v>143</v>
      </c>
    </row>
    <row r="15" spans="1:7" x14ac:dyDescent="0.25">
      <c r="F15" s="104" t="s">
        <v>144</v>
      </c>
    </row>
  </sheetData>
  <mergeCells count="2">
    <mergeCell ref="C1:D1"/>
    <mergeCell ref="F1:G1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"/>
  <sheetViews>
    <sheetView workbookViewId="0">
      <selection activeCell="B6" sqref="B6:B7"/>
    </sheetView>
  </sheetViews>
  <sheetFormatPr defaultRowHeight="15" x14ac:dyDescent="0.25"/>
  <cols>
    <col min="1" max="1" width="10.28515625" bestFit="1" customWidth="1"/>
    <col min="2" max="2" width="42.85546875" customWidth="1"/>
    <col min="3" max="3" width="45.140625" bestFit="1" customWidth="1"/>
    <col min="4" max="4" width="42.7109375" bestFit="1" customWidth="1"/>
  </cols>
  <sheetData>
    <row r="1" spans="1:2" x14ac:dyDescent="0.25">
      <c r="A1" t="s">
        <v>34</v>
      </c>
      <c r="B1" t="s">
        <v>35</v>
      </c>
    </row>
    <row r="2" spans="1:2" x14ac:dyDescent="0.25">
      <c r="A2" t="s">
        <v>0</v>
      </c>
      <c r="B2" t="s">
        <v>36</v>
      </c>
    </row>
    <row r="3" spans="1:2" x14ac:dyDescent="0.25">
      <c r="A3" t="s">
        <v>37</v>
      </c>
      <c r="B3" t="s">
        <v>129</v>
      </c>
    </row>
  </sheetData>
  <pageMargins left="0.7" right="0.7" top="0.75" bottom="0.75" header="0.3" footer="0.3"/>
  <pageSetup paperSize="9" orientation="portrait" r:id="rId1"/>
  <headerFooter>
    <oddFooter>&amp;C_x000D_&amp;1#&amp;"Calibri"&amp;12&amp;K000000 ECU Internal Information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Fixed Term &amp; On-Going</vt:lpstr>
      <vt:lpstr>Casual Employees</vt:lpstr>
      <vt:lpstr>Sheet2</vt:lpstr>
      <vt:lpstr>Sheet1</vt:lpstr>
      <vt:lpstr>Sheet3</vt:lpstr>
      <vt:lpstr>Academic</vt:lpstr>
      <vt:lpstr>Alevel</vt:lpstr>
      <vt:lpstr>Classification</vt:lpstr>
      <vt:lpstr>HEW</vt:lpstr>
      <vt:lpstr>Professional</vt:lpstr>
      <vt:lpstr>Sessional</vt:lpstr>
    </vt:vector>
  </TitlesOfParts>
  <Company>ECU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FERGUSON</dc:creator>
  <cp:lastModifiedBy>Young CHAE</cp:lastModifiedBy>
  <cp:lastPrinted>2025-06-12T13:41:08Z</cp:lastPrinted>
  <dcterms:created xsi:type="dcterms:W3CDTF">2015-11-23T05:15:36Z</dcterms:created>
  <dcterms:modified xsi:type="dcterms:W3CDTF">2025-06-16T02:53:16Z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081eab-cc3f-49a2-9582-7dfc12a01625_Enabled">
    <vt:lpwstr>true</vt:lpwstr>
  </property>
  <property fmtid="{D5CDD505-2E9C-101B-9397-08002B2CF9AE}" pid="3" name="MSIP_Label_03081eab-cc3f-49a2-9582-7dfc12a01625_SetDate">
    <vt:lpwstr>2024-05-22T01:26:27Z</vt:lpwstr>
  </property>
  <property fmtid="{D5CDD505-2E9C-101B-9397-08002B2CF9AE}" pid="4" name="MSIP_Label_03081eab-cc3f-49a2-9582-7dfc12a01625_Method">
    <vt:lpwstr>Standard</vt:lpwstr>
  </property>
  <property fmtid="{D5CDD505-2E9C-101B-9397-08002B2CF9AE}" pid="5" name="MSIP_Label_03081eab-cc3f-49a2-9582-7dfc12a01625_Name">
    <vt:lpwstr>Internal</vt:lpwstr>
  </property>
  <property fmtid="{D5CDD505-2E9C-101B-9397-08002B2CF9AE}" pid="6" name="MSIP_Label_03081eab-cc3f-49a2-9582-7dfc12a01625_SiteId">
    <vt:lpwstr>9bcb323d-7fa3-45e7-a36f-6d9cfdbcc272</vt:lpwstr>
  </property>
  <property fmtid="{D5CDD505-2E9C-101B-9397-08002B2CF9AE}" pid="7" name="MSIP_Label_03081eab-cc3f-49a2-9582-7dfc12a01625_ActionId">
    <vt:lpwstr>a70618ee-11bf-443b-b192-750f0cbe3c63</vt:lpwstr>
  </property>
  <property fmtid="{D5CDD505-2E9C-101B-9397-08002B2CF9AE}" pid="8" name="MSIP_Label_03081eab-cc3f-49a2-9582-7dfc12a01625_ContentBits">
    <vt:lpwstr>2</vt:lpwstr>
  </property>
</Properties>
</file>